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il\Desktop\WILL\"/>
    </mc:Choice>
  </mc:AlternateContent>
  <xr:revisionPtr revIDLastSave="0" documentId="13_ncr:1_{0B94A12C-3A84-46B1-B679-6B387BC07EC9}" xr6:coauthVersionLast="47" xr6:coauthVersionMax="47" xr10:uidLastSave="{00000000-0000-0000-0000-000000000000}"/>
  <bookViews>
    <workbookView xWindow="2130" yWindow="270" windowWidth="25035" windowHeight="16485" activeTab="1" xr2:uid="{00000000-000D-0000-FFFF-FFFF00000000}"/>
  </bookViews>
  <sheets>
    <sheet name="Javascript" sheetId="1" r:id="rId1"/>
    <sheet name="Geekbench and Spec" sheetId="6" r:id="rId2"/>
    <sheet name="New PC 2020" sheetId="4" r:id="rId3"/>
    <sheet name="Build Times" sheetId="5" r:id="rId4"/>
  </sheets>
  <definedNames>
    <definedName name="_xlnm._FilterDatabase" localSheetId="1" hidden="1">'Geekbench and Spec'!$B$2:$X$2</definedName>
    <definedName name="_xlnm.Print_Area" localSheetId="1">'Geekbench and Spec'!$B$1:$W$48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6" l="1"/>
  <c r="T4" i="6"/>
  <c r="V4" i="6" s="1"/>
  <c r="P3" i="6"/>
  <c r="O4" i="6"/>
  <c r="P4" i="6" s="1"/>
  <c r="T3" i="6"/>
  <c r="V3" i="6" s="1"/>
  <c r="V15" i="6"/>
  <c r="V19" i="6"/>
  <c r="V27" i="6"/>
  <c r="V28" i="6"/>
  <c r="U28" i="6"/>
  <c r="P28" i="6"/>
  <c r="T27" i="6"/>
  <c r="U27" i="6" s="1"/>
  <c r="T17" i="6"/>
  <c r="U17" i="6" s="1"/>
  <c r="U12" i="6"/>
  <c r="U14" i="6"/>
  <c r="P36" i="6"/>
  <c r="P19" i="6"/>
  <c r="P12" i="6"/>
  <c r="P14" i="6"/>
  <c r="P10" i="6"/>
  <c r="V14" i="6"/>
  <c r="V12" i="6"/>
  <c r="V17" i="6"/>
  <c r="T18" i="6"/>
  <c r="U18" i="6" s="1"/>
  <c r="O18" i="6"/>
  <c r="P18" i="6" s="1"/>
  <c r="T13" i="6"/>
  <c r="O13" i="6"/>
  <c r="P13" i="6" s="1"/>
  <c r="T10" i="6"/>
  <c r="V10" i="6" s="1"/>
  <c r="T11" i="6"/>
  <c r="U11" i="6" s="1"/>
  <c r="O11" i="6"/>
  <c r="P11" i="6" s="1"/>
  <c r="T34" i="6"/>
  <c r="U34" i="6" s="1"/>
  <c r="T33" i="6"/>
  <c r="U33" i="6" s="1"/>
  <c r="T31" i="6"/>
  <c r="U31" i="6" s="1"/>
  <c r="T29" i="6"/>
  <c r="U29" i="6" s="1"/>
  <c r="T25" i="6"/>
  <c r="U25" i="6" s="1"/>
  <c r="T24" i="6"/>
  <c r="U24" i="6" s="1"/>
  <c r="T22" i="6"/>
  <c r="U22" i="6" s="1"/>
  <c r="T21" i="6"/>
  <c r="O34" i="6"/>
  <c r="P34" i="6" s="1"/>
  <c r="O33" i="6"/>
  <c r="P33" i="6" s="1"/>
  <c r="O31" i="6"/>
  <c r="P31" i="6" s="1"/>
  <c r="O29" i="6"/>
  <c r="P29" i="6" s="1"/>
  <c r="O25" i="6"/>
  <c r="P25" i="6" s="1"/>
  <c r="O24" i="6"/>
  <c r="P24" i="6" s="1"/>
  <c r="O22" i="6"/>
  <c r="P22" i="6" s="1"/>
  <c r="O21" i="6"/>
  <c r="P21" i="6" s="1"/>
  <c r="M26" i="1"/>
  <c r="M25" i="1"/>
  <c r="M24" i="1"/>
  <c r="M19" i="1"/>
  <c r="M8" i="1"/>
  <c r="M7" i="1"/>
  <c r="M3" i="1"/>
  <c r="V23" i="6"/>
  <c r="V36" i="6"/>
  <c r="V43" i="6"/>
  <c r="V38" i="6"/>
  <c r="V41" i="6"/>
  <c r="V37" i="6"/>
  <c r="V45" i="6"/>
  <c r="V46" i="6"/>
  <c r="K14" i="1"/>
  <c r="K13" i="1"/>
  <c r="J13" i="1"/>
  <c r="J14" i="1"/>
  <c r="V44" i="6"/>
  <c r="U4" i="6" l="1"/>
  <c r="U3" i="6"/>
  <c r="U10" i="6"/>
  <c r="V13" i="6"/>
  <c r="U13" i="6"/>
  <c r="V11" i="6"/>
  <c r="V22" i="6"/>
  <c r="V18" i="6"/>
  <c r="V29" i="6"/>
  <c r="V32" i="6"/>
  <c r="V39" i="6"/>
  <c r="V40" i="6"/>
  <c r="V42" i="6"/>
  <c r="V33" i="6"/>
  <c r="V31" i="6"/>
  <c r="V24" i="6"/>
  <c r="V30" i="6"/>
  <c r="V35" i="6"/>
  <c r="V34" i="6"/>
  <c r="V25" i="6"/>
  <c r="V26" i="6"/>
  <c r="V21" i="6"/>
  <c r="F26" i="4" l="1"/>
  <c r="F37" i="4" l="1"/>
  <c r="F36" i="4"/>
  <c r="F35" i="4"/>
  <c r="F34" i="4"/>
  <c r="F33" i="4"/>
  <c r="F32" i="4"/>
  <c r="F31" i="4"/>
  <c r="F30" i="4"/>
  <c r="F29" i="4"/>
  <c r="F28" i="4"/>
  <c r="F27" i="4"/>
  <c r="F11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0" i="4"/>
  <c r="F9" i="4"/>
  <c r="F8" i="4"/>
  <c r="F7" i="4" l="1"/>
  <c r="F6" i="4"/>
  <c r="F5" i="4"/>
  <c r="F4" i="4"/>
  <c r="F3" i="4"/>
  <c r="M31" i="1" l="1"/>
  <c r="M30" i="1"/>
  <c r="M29" i="1" l="1"/>
  <c r="M22" i="1"/>
  <c r="M18" i="1"/>
  <c r="M16" i="1" l="1"/>
  <c r="M17" i="1" l="1"/>
  <c r="M9" i="1" l="1"/>
  <c r="M21" i="1"/>
  <c r="M10" i="1"/>
  <c r="M28" i="1" l="1"/>
  <c r="M13" i="1" l="1"/>
  <c r="N3" i="1" s="1"/>
  <c r="M14" i="1"/>
  <c r="M27" i="1"/>
  <c r="M11" i="1"/>
  <c r="M12" i="1"/>
  <c r="M15" i="1"/>
  <c r="M23" i="1"/>
  <c r="M20" i="1"/>
  <c r="N14" i="1" l="1"/>
  <c r="N19" i="1"/>
  <c r="N15" i="1"/>
  <c r="N12" i="1"/>
  <c r="N20" i="1"/>
  <c r="N23" i="1"/>
  <c r="N11" i="1"/>
  <c r="N27" i="1"/>
  <c r="N25" i="1"/>
  <c r="N24" i="1"/>
  <c r="N26" i="1"/>
  <c r="N30" i="1"/>
  <c r="N31" i="1"/>
  <c r="N7" i="1"/>
  <c r="N18" i="1"/>
  <c r="N22" i="1"/>
  <c r="N29" i="1"/>
  <c r="N16" i="1"/>
  <c r="N17" i="1"/>
  <c r="N9" i="1"/>
  <c r="N13" i="1"/>
  <c r="N10" i="1"/>
  <c r="N21" i="1"/>
  <c r="N8" i="1"/>
  <c r="N28" i="1"/>
</calcChain>
</file>

<file path=xl/sharedStrings.xml><?xml version="1.0" encoding="utf-8"?>
<sst xmlns="http://schemas.openxmlformats.org/spreadsheetml/2006/main" count="500" uniqueCount="375">
  <si>
    <t>Device</t>
  </si>
  <si>
    <t>PC Chrome</t>
  </si>
  <si>
    <t>PC IE</t>
  </si>
  <si>
    <t>PC FF</t>
  </si>
  <si>
    <t>Geometric Mean</t>
  </si>
  <si>
    <t>Kraken v1.1 (ms)</t>
  </si>
  <si>
    <t>HTML5 Test (html5test.com)</t>
  </si>
  <si>
    <t>Modern PC (July 2016)</t>
  </si>
  <si>
    <t>iPhone 7+</t>
  </si>
  <si>
    <t>iPhone 6S+</t>
  </si>
  <si>
    <t>iPhone 5S</t>
  </si>
  <si>
    <t>Intel Kaby Lake Core-i7 7740X / Google Chrome (July 2017)</t>
  </si>
  <si>
    <t>iPhone X</t>
  </si>
  <si>
    <t>Sun Spider v1.0.2 (ms)</t>
  </si>
  <si>
    <t>Jet Stream v1.1</t>
  </si>
  <si>
    <t>PC Chrome 67.0.3396.99</t>
  </si>
  <si>
    <t>Date</t>
  </si>
  <si>
    <t>PC FF 61.0.1</t>
  </si>
  <si>
    <t>PC Edge 17 on Win 10</t>
  </si>
  <si>
    <t>iPhone 7+ iOS 11.4</t>
  </si>
  <si>
    <t>2017?</t>
  </si>
  <si>
    <t>Surface Pro core i5-6300U 2.49 GHz</t>
  </si>
  <si>
    <t>Work PC core i7-3770 3.4 GHz, Invincea</t>
  </si>
  <si>
    <t>Intel Core i9-7980XE 2.6 GHz</t>
  </si>
  <si>
    <t>iPhone XS</t>
  </si>
  <si>
    <t>Intel Core i9-9900K 3.6 GHz</t>
  </si>
  <si>
    <t>Intel Core i7-8700 3.2 GHz (silentpc.com)</t>
  </si>
  <si>
    <t>Family PC 2020 FF Core i9-9900 3.1 GHz</t>
  </si>
  <si>
    <t>Geekbench 4 Single Core</t>
  </si>
  <si>
    <t>Geekbench 4 Multi-core</t>
  </si>
  <si>
    <t>Geekbench 5 Single Core</t>
  </si>
  <si>
    <t>Geekbench 5 Multi-core</t>
  </si>
  <si>
    <t>Family PC 2020 Chrome Core i9-9900 3.1 GHz</t>
  </si>
  <si>
    <t>Family PC 2020 Edge Core i9-9900 3.1 GHz</t>
  </si>
  <si>
    <t>Benchmark</t>
  </si>
  <si>
    <t>Fam PC 2010
(Core i5-670)</t>
  </si>
  <si>
    <t>Fam PC 2020
(Core i9-9900)</t>
  </si>
  <si>
    <t>Booting the PC</t>
  </si>
  <si>
    <t>42 s</t>
  </si>
  <si>
    <t>22 s</t>
  </si>
  <si>
    <t>Whipped 2011 benchmark</t>
  </si>
  <si>
    <t>73 s</t>
  </si>
  <si>
    <t>43 s</t>
  </si>
  <si>
    <t>Qhelix 3.0 std benchmark (qhelix.in)</t>
  </si>
  <si>
    <t>0.5 s</t>
  </si>
  <si>
    <t>0.4 s</t>
  </si>
  <si>
    <t>Ratio</t>
  </si>
  <si>
    <t>Qhelix 3.0 qhelix2.in</t>
  </si>
  <si>
    <t>26 s</t>
  </si>
  <si>
    <t>23 s</t>
  </si>
  <si>
    <t>Qhelix 3.0 qhelix2.in -nt 3</t>
  </si>
  <si>
    <t>10 s</t>
  </si>
  <si>
    <t>8.4 s</t>
  </si>
  <si>
    <t>Load finance file into GnuCash</t>
  </si>
  <si>
    <t>25 s</t>
  </si>
  <si>
    <t>k2pdfopt pooh4.pdf (pooh.pdf x 4)</t>
  </si>
  <si>
    <t>19.5 s</t>
  </si>
  <si>
    <t>39.9 s</t>
  </si>
  <si>
    <t>k2pdfopt 2.51a pooh4.pdf -ocr t -nt 2</t>
  </si>
  <si>
    <t>k2pdfopt 2.51a pooh4.pdf -ocr t -nt 1</t>
  </si>
  <si>
    <t>k2pdfopt 2.51a pooh4.pdf -ocr t -nt 8</t>
  </si>
  <si>
    <t>39.8 s</t>
  </si>
  <si>
    <t>12.4 s</t>
  </si>
  <si>
    <t>26.6 s</t>
  </si>
  <si>
    <t>25.9 s</t>
  </si>
  <si>
    <t>26.0 s</t>
  </si>
  <si>
    <t>atan2</t>
  </si>
  <si>
    <t>17.2 s</t>
  </si>
  <si>
    <t>bzip2</t>
  </si>
  <si>
    <t>31.7 s</t>
  </si>
  <si>
    <t>crafty</t>
  </si>
  <si>
    <t>15.6 s</t>
  </si>
  <si>
    <t>exp</t>
  </si>
  <si>
    <t>27.7 s</t>
  </si>
  <si>
    <t>k2pdfopt2</t>
  </si>
  <si>
    <t>17.0 s</t>
  </si>
  <si>
    <t>lame</t>
  </si>
  <si>
    <t>25.8 s</t>
  </si>
  <si>
    <t>m3dpost</t>
  </si>
  <si>
    <t>pow</t>
  </si>
  <si>
    <t>28.6 s</t>
  </si>
  <si>
    <t>qhelix</t>
  </si>
  <si>
    <t>23.1 s</t>
  </si>
  <si>
    <t>sincos</t>
  </si>
  <si>
    <t>9.1 s</t>
  </si>
  <si>
    <t>tgfe</t>
  </si>
  <si>
    <t>36.7 s</t>
  </si>
  <si>
    <t>48.7 s</t>
  </si>
  <si>
    <t>xfrnpr</t>
  </si>
  <si>
    <t>21.1 s</t>
  </si>
  <si>
    <t>whipped 2011 benchmark</t>
  </si>
  <si>
    <t>11.9 s</t>
  </si>
  <si>
    <t>56.1 s</t>
  </si>
  <si>
    <t>23.5 s</t>
  </si>
  <si>
    <t>27.8 s</t>
  </si>
  <si>
    <t>41.8 s</t>
  </si>
  <si>
    <t>33.2 s</t>
  </si>
  <si>
    <t>8.9 s</t>
  </si>
  <si>
    <t>72.4 s</t>
  </si>
  <si>
    <t>27.5 s</t>
  </si>
  <si>
    <t>81.3 s</t>
  </si>
  <si>
    <t>44.2 s</t>
  </si>
  <si>
    <t>31.3 s</t>
  </si>
  <si>
    <t>25.6 s</t>
  </si>
  <si>
    <t>ffmpeg mp4 conversion -nt 1</t>
  </si>
  <si>
    <t>ffmpeg mp4 conversion -nt 2</t>
  </si>
  <si>
    <t>ffmpeg mp4 conversion -nt 4</t>
  </si>
  <si>
    <t>ffmpeg mp4 conversion -nt 8</t>
  </si>
  <si>
    <t>11.4 s</t>
  </si>
  <si>
    <t>6.4 s</t>
  </si>
  <si>
    <t>4.4 s</t>
  </si>
  <si>
    <t>2.8 s</t>
  </si>
  <si>
    <t>28.0 s</t>
  </si>
  <si>
    <t>20.1 s</t>
  </si>
  <si>
    <t>22.4 s</t>
  </si>
  <si>
    <t>19 s</t>
  </si>
  <si>
    <t>ffmpeg webm conversion -nt 1</t>
  </si>
  <si>
    <t>ffmpeg webm conversion -nt 2</t>
  </si>
  <si>
    <t>ffmpeg webm conversion -nt 4</t>
  </si>
  <si>
    <t>ffmpeg webm conversion -nt 8</t>
  </si>
  <si>
    <t>50.0 s</t>
  </si>
  <si>
    <t>33.8 s</t>
  </si>
  <si>
    <t>28.5 s</t>
  </si>
  <si>
    <t>29.8 s</t>
  </si>
  <si>
    <t>28.4 s</t>
  </si>
  <si>
    <t>15.9 s</t>
  </si>
  <si>
    <t>9.8 s</t>
  </si>
  <si>
    <t>8.8 s</t>
  </si>
  <si>
    <t>ffmpeg vp9 conversion -nt 1</t>
  </si>
  <si>
    <t>ffmpeg vp9 conversion -nt 2</t>
  </si>
  <si>
    <t>84.2 s</t>
  </si>
  <si>
    <t>47.3 s</t>
  </si>
  <si>
    <t>147.3 s</t>
  </si>
  <si>
    <t>104.7 s</t>
  </si>
  <si>
    <t>668 s</t>
  </si>
  <si>
    <t>5095 s</t>
  </si>
  <si>
    <t>12.1 s recompiled w/9.2.1</t>
  </si>
  <si>
    <t>25.6 s recompiled w/9.2.1</t>
  </si>
  <si>
    <t>k2pdfopt</t>
  </si>
  <si>
    <t>QHELIX</t>
  </si>
  <si>
    <t>whipped</t>
  </si>
  <si>
    <t>x264</t>
  </si>
  <si>
    <t>CC 2011 benchmark total build time</t>
  </si>
  <si>
    <t>Very odd.  Is gcc multi-threaded??</t>
  </si>
  <si>
    <t>Idle</t>
  </si>
  <si>
    <t>Qhelix -nt 1</t>
  </si>
  <si>
    <t>45 W</t>
  </si>
  <si>
    <t>Qhelix -nt 4</t>
  </si>
  <si>
    <t>58 W</t>
  </si>
  <si>
    <t>Qhelix -nt 16</t>
  </si>
  <si>
    <t>80 W</t>
  </si>
  <si>
    <t>wmake -j 1</t>
  </si>
  <si>
    <t>46 W</t>
  </si>
  <si>
    <t>31 W</t>
  </si>
  <si>
    <t>wmake -j 2</t>
  </si>
  <si>
    <t>53 W</t>
  </si>
  <si>
    <t>wmake -j 4</t>
  </si>
  <si>
    <t>64 W</t>
  </si>
  <si>
    <t>wmake -j 8</t>
  </si>
  <si>
    <t>85 W</t>
  </si>
  <si>
    <t>wmake -j 16</t>
  </si>
  <si>
    <t>99 W</t>
  </si>
  <si>
    <t>(wmake likely more disk intensive than Qhelix)</t>
  </si>
  <si>
    <t>ASUS 24-inch monitor purchased summer 2019 draws 15 - 17 W when on.</t>
  </si>
  <si>
    <t>Fam PC 2020
(Core i9-9900)
Power Draw
(does not include monitor)</t>
  </si>
  <si>
    <t>CPU</t>
  </si>
  <si>
    <t>Type</t>
  </si>
  <si>
    <t>Desktop</t>
  </si>
  <si>
    <t>Core i9-10910</t>
  </si>
  <si>
    <t>Cores</t>
  </si>
  <si>
    <t>Threads</t>
  </si>
  <si>
    <t>UHD 630</t>
  </si>
  <si>
    <t>Core i9-10900K</t>
  </si>
  <si>
    <t>Comments</t>
  </si>
  <si>
    <t>Core i7-1065G7</t>
  </si>
  <si>
    <t>Mobile</t>
  </si>
  <si>
    <t>Iris Plus</t>
  </si>
  <si>
    <t>Release</t>
  </si>
  <si>
    <t>Q3 2019</t>
  </si>
  <si>
    <t>Q3 2020</t>
  </si>
  <si>
    <t>Q2 2020</t>
  </si>
  <si>
    <t>Core i9-10980HK</t>
  </si>
  <si>
    <t>45 - 65</t>
  </si>
  <si>
    <t>Workstation</t>
  </si>
  <si>
    <t>Platinum supports 8 sockets; Gold 4; Silver/Bronze 2</t>
  </si>
  <si>
    <t>HD P630</t>
  </si>
  <si>
    <t>Xeon W-1290P</t>
  </si>
  <si>
    <t>Core i9-9900</t>
  </si>
  <si>
    <t>Core i5-670</t>
  </si>
  <si>
    <t>Core i5-6300U</t>
  </si>
  <si>
    <t>HD</t>
  </si>
  <si>
    <t>Q2 2019</t>
  </si>
  <si>
    <t>Q1 2010</t>
  </si>
  <si>
    <t>Q3 2015</t>
  </si>
  <si>
    <t>HD 520</t>
  </si>
  <si>
    <t>M1</t>
  </si>
  <si>
    <t>8-core</t>
  </si>
  <si>
    <t>Q4 2020</t>
  </si>
  <si>
    <t>4 high-perf cores, 4 high-eff cores</t>
  </si>
  <si>
    <t>Core i7-1185G7</t>
  </si>
  <si>
    <t>1.2 - 3.0</t>
  </si>
  <si>
    <t>Iris Xe</t>
  </si>
  <si>
    <t>12 - 28</t>
  </si>
  <si>
    <t>10 - 24</t>
  </si>
  <si>
    <t>Ryzen 9 5950X</t>
  </si>
  <si>
    <t>Ryzen 9 4900H</t>
  </si>
  <si>
    <t>35 - 54</t>
  </si>
  <si>
    <t>Ryzen 7 4800U</t>
  </si>
  <si>
    <t>10 - 25</t>
  </si>
  <si>
    <t>Core i7-4610M</t>
  </si>
  <si>
    <t>Q1 2014</t>
  </si>
  <si>
    <t>HD 4600</t>
  </si>
  <si>
    <t>Core i7-8700</t>
  </si>
  <si>
    <t>Work PC 2019</t>
  </si>
  <si>
    <t>Q4 2017</t>
  </si>
  <si>
    <t>Work laptop 2016</t>
  </si>
  <si>
    <t>n/a</t>
  </si>
  <si>
    <t>Spec2017 Int</t>
  </si>
  <si>
    <t>Spec2017 FP</t>
  </si>
  <si>
    <t>Single Threaded</t>
  </si>
  <si>
    <t>Multi-Threaded</t>
  </si>
  <si>
    <t>Geekbench 5</t>
  </si>
  <si>
    <t>Xeon Platinum 8280</t>
  </si>
  <si>
    <t>Very similar to Core i9-10900K</t>
  </si>
  <si>
    <t>Top-end Intel mobile in 2020</t>
  </si>
  <si>
    <t>Top-end Intel DT CPU in 2020</t>
  </si>
  <si>
    <t>Top-end AMD DT CPU in 2020</t>
  </si>
  <si>
    <t>Top-end AMD mobile CPU in 2020</t>
  </si>
  <si>
    <t>GPU</t>
  </si>
  <si>
    <t>TDP (W)</t>
  </si>
  <si>
    <t>Max Turbo (GHz)</t>
  </si>
  <si>
    <t>Base (GHz)</t>
  </si>
  <si>
    <t>iPad mini 2 (Apple A7 core)</t>
  </si>
  <si>
    <t>Q4 2013</t>
  </si>
  <si>
    <t>iPad (ARM Cortex-A8)</t>
  </si>
  <si>
    <t>iPad 3 (ARM Cortex-A9)</t>
  </si>
  <si>
    <t>G6430</t>
  </si>
  <si>
    <t>SGX535</t>
  </si>
  <si>
    <t>SGX543</t>
  </si>
  <si>
    <t>Q2 2010</t>
  </si>
  <si>
    <t>Q1 2012</t>
  </si>
  <si>
    <t>ARM Cortex-A8 (Apple A4)</t>
  </si>
  <si>
    <t>ARM Cortex-A9 (Apple A5X)</t>
  </si>
  <si>
    <t>Apple Cyclone (Apple A7)</t>
  </si>
  <si>
    <t>A11 Bionic</t>
  </si>
  <si>
    <t>Apple</t>
  </si>
  <si>
    <t>2 high-perf cores, 4 high-eff cores</t>
  </si>
  <si>
    <t>A10 Fusion</t>
  </si>
  <si>
    <t>2 high-perf cores, 2 high-eff cores</t>
  </si>
  <si>
    <t>GT7600</t>
  </si>
  <si>
    <t>Q3 2016</t>
  </si>
  <si>
    <t>Q3 2017</t>
  </si>
  <si>
    <t>Apple A9</t>
  </si>
  <si>
    <t>2 high-perf cores</t>
  </si>
  <si>
    <t>GT7600+</t>
  </si>
  <si>
    <t>A14 Bionic</t>
  </si>
  <si>
    <t>4-core</t>
  </si>
  <si>
    <t>3-core</t>
  </si>
  <si>
    <t>Surface Pro</t>
  </si>
  <si>
    <t>Ipad 1 2010</t>
  </si>
  <si>
    <t>Ipad 3 2012</t>
  </si>
  <si>
    <t>Macbook/Mini</t>
  </si>
  <si>
    <t>Dell Laptop</t>
  </si>
  <si>
    <t>Dell SFF</t>
  </si>
  <si>
    <t>Ipad mini 2 2013</t>
  </si>
  <si>
    <t>iPhone X 2018</t>
  </si>
  <si>
    <t>iPhone 7+ Q4 2016</t>
  </si>
  <si>
    <t>iPhone 8+ 2020</t>
  </si>
  <si>
    <t>iPhone 6S+ 2016</t>
  </si>
  <si>
    <t>iPhone 12</t>
  </si>
  <si>
    <t>Private Comments</t>
  </si>
  <si>
    <t>Top-end AMD Desktop CPU in 2020</t>
  </si>
  <si>
    <t>Top-end Intel Desktop CPU in 2020</t>
  </si>
  <si>
    <t>KC's Surface Pro 2016</t>
  </si>
  <si>
    <t>KC's iPad mini Christmas 2013</t>
  </si>
  <si>
    <t>iPad 3 2012</t>
  </si>
  <si>
    <t>iPad Mini 2 2013</t>
  </si>
  <si>
    <t>iPad 1 2010</t>
  </si>
  <si>
    <t>iPad 3 ordered March 2012</t>
  </si>
  <si>
    <t>iPad 1 from Dave October 2010</t>
  </si>
  <si>
    <t>Home PC Feb 2010</t>
  </si>
  <si>
    <t>Core i9-10980XE</t>
  </si>
  <si>
    <t>Q4 2019</t>
  </si>
  <si>
    <t>Apple mini (Safari)</t>
  </si>
  <si>
    <t>Apple mini (Firefox)</t>
  </si>
  <si>
    <t>Apple mini (Chrome)</t>
  </si>
  <si>
    <t>iPhone 13 (Arm A15 Bionic)</t>
  </si>
  <si>
    <t>Spec2017 Mean</t>
  </si>
  <si>
    <t>Core i9-12900K</t>
  </si>
  <si>
    <t>Core i9-11900K</t>
  </si>
  <si>
    <t>M1 Max</t>
  </si>
  <si>
    <t>Ryzen 9 5980HS</t>
  </si>
  <si>
    <t>Ryzen 9 5700G</t>
  </si>
  <si>
    <t>High-end AMD desktop CPU w/integrated GPU</t>
  </si>
  <si>
    <t>Top-end Intel CPU 2021</t>
  </si>
  <si>
    <t>High-end Intel CPU 2021</t>
  </si>
  <si>
    <t>8P+8E</t>
  </si>
  <si>
    <t>UHD 770</t>
  </si>
  <si>
    <t>AMD 3995WX</t>
  </si>
  <si>
    <t>Q3 2021</t>
  </si>
  <si>
    <t>Q2 2021</t>
  </si>
  <si>
    <t>Q1 2021</t>
  </si>
  <si>
    <t>Q4 2021</t>
  </si>
  <si>
    <t>UHD 750</t>
  </si>
  <si>
    <t>125 - 240</t>
  </si>
  <si>
    <t>Core i9-12900HK</t>
  </si>
  <si>
    <t>6P+8E</t>
  </si>
  <si>
    <t>35 - 115</t>
  </si>
  <si>
    <t>Q1 2022</t>
  </si>
  <si>
    <t>8P+2E</t>
  </si>
  <si>
    <t>32-core</t>
  </si>
  <si>
    <t>10 - 100</t>
  </si>
  <si>
    <t>Xeon W3375</t>
  </si>
  <si>
    <t>High-end AMD mobile CPU</t>
  </si>
  <si>
    <t>Top-end AMD desktop CPU in 2021</t>
  </si>
  <si>
    <t>Top-end Intel mobile CPU 2021</t>
  </si>
  <si>
    <t>Top-end Intel Xeon 2021</t>
  </si>
  <si>
    <t>Top-end AMD server chip 2021</t>
  </si>
  <si>
    <t>Apple's flagship CPU 2021</t>
  </si>
  <si>
    <t>iPhone 13</t>
  </si>
  <si>
    <t>A15 Bionic</t>
  </si>
  <si>
    <t>5-core</t>
  </si>
  <si>
    <t>6.47 (P)
1.88 (E)</t>
  </si>
  <si>
    <t>7.28 (P)
2.42 (E)</t>
  </si>
  <si>
    <t>10.15 (P)
3.03 (E)</t>
  </si>
  <si>
    <t>8.95 (P)
2.54 (E)</t>
  </si>
  <si>
    <t>8.60 (P)
2.71 (E)</t>
  </si>
  <si>
    <t>7.61 (P)
2.19 (E)</t>
  </si>
  <si>
    <t>8.14 (P)</t>
  </si>
  <si>
    <t>14.16 (P)</t>
  </si>
  <si>
    <t>10.74 (P)</t>
  </si>
  <si>
    <t>ST MEAN</t>
  </si>
  <si>
    <t>MT MEAN</t>
  </si>
  <si>
    <t>Home PC March 2020;  Spec is a guess</t>
  </si>
  <si>
    <t>Surface Pro 8</t>
  </si>
  <si>
    <t>Surface Pro 8 CPU</t>
  </si>
  <si>
    <t>ST MEAN and MT MEAN are normalized Single Threaded and Multi-Threaded scores</t>
  </si>
  <si>
    <t>MT Scaling</t>
  </si>
  <si>
    <t>MT Scaling is MT MEAN / ST MEAN divided by number of cores.  1.0 would be perfect scaling.</t>
  </si>
  <si>
    <t>Core i9-13900K</t>
  </si>
  <si>
    <t>8P+16E</t>
  </si>
  <si>
    <t>2.2/3.0</t>
  </si>
  <si>
    <t>Q4 2022</t>
  </si>
  <si>
    <t>9.19 (P)</t>
  </si>
  <si>
    <t>15.78 (P)</t>
  </si>
  <si>
    <t>12.04 (P)</t>
  </si>
  <si>
    <t>Top-end Intel CPU 2022, 13th-gen, 10-nm</t>
  </si>
  <si>
    <t>Ryzen 9 7950X</t>
  </si>
  <si>
    <t>Radeon</t>
  </si>
  <si>
    <t>Q3 2022</t>
  </si>
  <si>
    <t>Top-end AMD desktop for 2022, Zen-4 5-nm, 13.14 billion transistors</t>
  </si>
  <si>
    <t>Core i9-13980HX</t>
  </si>
  <si>
    <t>Core i9-13900T</t>
  </si>
  <si>
    <t>4.0/5.6</t>
  </si>
  <si>
    <t>UHD 13th-gen</t>
  </si>
  <si>
    <t>125 - 253</t>
  </si>
  <si>
    <t>55 - 157</t>
  </si>
  <si>
    <t>Q1  2023</t>
  </si>
  <si>
    <t>0.8/1.1</t>
  </si>
  <si>
    <t>3.9/5.1</t>
  </si>
  <si>
    <t>35 - 106</t>
  </si>
  <si>
    <t>Q1 2023</t>
  </si>
  <si>
    <t>Ryzen 9 7945HX</t>
  </si>
  <si>
    <t>R610M</t>
  </si>
  <si>
    <t>M2</t>
  </si>
  <si>
    <t>5-nm, 20 billion transistors</t>
  </si>
  <si>
    <t>10-core</t>
  </si>
  <si>
    <t>4P+4E</t>
  </si>
  <si>
    <t>Xeon 8480</t>
  </si>
  <si>
    <t>Xeon Platinum 8380</t>
  </si>
  <si>
    <t>Zen 4 5-nm</t>
  </si>
  <si>
    <t>Top-end Intel mobile CPU beginning 2023</t>
  </si>
  <si>
    <t>Top-end lower-power Intel mobile CPU 2023</t>
  </si>
  <si>
    <t>1.6/2.2</t>
  </si>
  <si>
    <t>4.3/5.8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</si>
</sst>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4" borderId="1" xfId="0" applyFill="1" applyBorder="1"/>
    <xf numFmtId="16" fontId="0" fillId="4" borderId="1" xfId="0" quotePrefix="1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16" fontId="3" fillId="4" borderId="1" xfId="0" quotePrefix="1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6" borderId="1" xfId="0" quotePrefix="1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4" borderId="1" xfId="0" applyNumberForma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16" fontId="3" fillId="6" borderId="1" xfId="0" quotePrefix="1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6" fillId="0" borderId="0" xfId="0" applyFont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164" fontId="0" fillId="10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1"/>
  <sheetViews>
    <sheetView workbookViewId="0">
      <selection activeCell="J3" sqref="J3:K3"/>
    </sheetView>
  </sheetViews>
  <sheetFormatPr defaultRowHeight="15" x14ac:dyDescent="0.25"/>
  <cols>
    <col min="2" max="2" width="40.7109375" customWidth="1"/>
    <col min="3" max="3" width="12.140625" style="10" customWidth="1"/>
    <col min="7" max="7" width="15.42578125" customWidth="1"/>
    <col min="8" max="11" width="12.5703125" customWidth="1"/>
    <col min="12" max="12" width="1.85546875" customWidth="1"/>
    <col min="13" max="13" width="12" customWidth="1"/>
    <col min="14" max="14" width="11.28515625" customWidth="1"/>
  </cols>
  <sheetData>
    <row r="2" spans="2:14" ht="62.25" customHeight="1" x14ac:dyDescent="0.25">
      <c r="B2" s="1" t="s">
        <v>0</v>
      </c>
      <c r="C2" s="8" t="s">
        <v>16</v>
      </c>
      <c r="D2" s="2" t="s">
        <v>14</v>
      </c>
      <c r="E2" s="2" t="s">
        <v>13</v>
      </c>
      <c r="F2" s="2" t="s">
        <v>5</v>
      </c>
      <c r="G2" s="2" t="s">
        <v>6</v>
      </c>
      <c r="H2" s="2" t="s">
        <v>28</v>
      </c>
      <c r="I2" s="2" t="s">
        <v>29</v>
      </c>
      <c r="J2" s="2" t="s">
        <v>30</v>
      </c>
      <c r="K2" s="2" t="s">
        <v>31</v>
      </c>
      <c r="M2" s="6" t="s">
        <v>4</v>
      </c>
      <c r="N2" s="6" t="s">
        <v>4</v>
      </c>
    </row>
    <row r="3" spans="2:14" x14ac:dyDescent="0.25">
      <c r="B3" s="3" t="s">
        <v>286</v>
      </c>
      <c r="C3" s="9">
        <v>44522</v>
      </c>
      <c r="D3" s="21">
        <v>409.7</v>
      </c>
      <c r="E3" s="4">
        <v>76</v>
      </c>
      <c r="F3" s="4">
        <v>404</v>
      </c>
      <c r="G3" s="4">
        <v>464</v>
      </c>
      <c r="H3" s="4"/>
      <c r="I3" s="4"/>
      <c r="J3" s="4">
        <v>1730</v>
      </c>
      <c r="K3" s="4">
        <v>4700</v>
      </c>
      <c r="M3" s="5">
        <f>(D3*J3*K3/E3/F3/D$19/J$19/K$19*E$19*F$19)^(1/5)</f>
        <v>3.7840358730730164</v>
      </c>
      <c r="N3" s="7">
        <f>M3/M$13</f>
        <v>109.12753062235062</v>
      </c>
    </row>
    <row r="4" spans="2:14" x14ac:dyDescent="0.25">
      <c r="B4" s="3" t="s">
        <v>283</v>
      </c>
      <c r="C4" s="9">
        <v>44228</v>
      </c>
      <c r="D4" s="21"/>
      <c r="E4" s="4"/>
      <c r="F4" s="4"/>
      <c r="G4" s="4"/>
      <c r="H4" s="4"/>
      <c r="I4" s="4"/>
      <c r="J4" s="4"/>
      <c r="K4" s="4"/>
      <c r="M4" s="5"/>
      <c r="N4" s="7"/>
    </row>
    <row r="5" spans="2:14" x14ac:dyDescent="0.25">
      <c r="B5" s="3" t="s">
        <v>284</v>
      </c>
      <c r="C5" s="9">
        <v>44228</v>
      </c>
      <c r="D5" s="21"/>
      <c r="E5" s="4"/>
      <c r="F5" s="4"/>
      <c r="G5" s="4"/>
      <c r="H5" s="4"/>
      <c r="I5" s="4"/>
      <c r="J5" s="4"/>
      <c r="K5" s="4"/>
      <c r="M5" s="5"/>
      <c r="N5" s="7"/>
    </row>
    <row r="6" spans="2:14" x14ac:dyDescent="0.25">
      <c r="B6" s="3" t="s">
        <v>285</v>
      </c>
      <c r="C6" s="9">
        <v>44228</v>
      </c>
      <c r="D6" s="21"/>
      <c r="E6" s="4"/>
      <c r="F6" s="4"/>
      <c r="G6" s="4"/>
      <c r="H6" s="4"/>
      <c r="I6" s="4"/>
      <c r="J6" s="4"/>
      <c r="K6" s="4"/>
      <c r="M6" s="5"/>
      <c r="N6" s="7"/>
    </row>
    <row r="7" spans="2:14" x14ac:dyDescent="0.25">
      <c r="B7" s="3" t="s">
        <v>24</v>
      </c>
      <c r="C7" s="9">
        <v>43450</v>
      </c>
      <c r="D7" s="4">
        <v>266</v>
      </c>
      <c r="E7" s="4">
        <v>246</v>
      </c>
      <c r="F7" s="4">
        <v>636</v>
      </c>
      <c r="G7" s="4">
        <v>462</v>
      </c>
      <c r="H7" s="4">
        <v>4796</v>
      </c>
      <c r="I7" s="4">
        <v>11255</v>
      </c>
      <c r="J7" s="4">
        <v>1109</v>
      </c>
      <c r="K7" s="4">
        <v>2716</v>
      </c>
      <c r="M7" s="5">
        <f>(D7*J7*K7/E7/F7/D$19/J$19/K$19*E$19*F$19)^(1/5)</f>
        <v>2.0546714979385072</v>
      </c>
      <c r="N7" s="7">
        <f t="shared" ref="N7:N15" si="0">M7/M$13</f>
        <v>59.254519336272935</v>
      </c>
    </row>
    <row r="8" spans="2:14" x14ac:dyDescent="0.25">
      <c r="B8" s="3" t="s">
        <v>12</v>
      </c>
      <c r="C8" s="9">
        <v>43298</v>
      </c>
      <c r="D8" s="4">
        <v>209</v>
      </c>
      <c r="E8" s="4">
        <v>159</v>
      </c>
      <c r="F8" s="4">
        <v>748</v>
      </c>
      <c r="G8" s="4">
        <v>462</v>
      </c>
      <c r="H8" s="4">
        <v>4207</v>
      </c>
      <c r="I8" s="4">
        <v>10127</v>
      </c>
      <c r="J8" s="4">
        <v>919</v>
      </c>
      <c r="K8" s="4">
        <v>2373</v>
      </c>
      <c r="M8" s="5">
        <f>(D8*J8*K8/E8/F8/D$19/J$19/K$19*E$19*F$19)^(1/5)</f>
        <v>1.938940196144445</v>
      </c>
      <c r="N8" s="7">
        <f t="shared" si="0"/>
        <v>55.91695288496981</v>
      </c>
    </row>
    <row r="9" spans="2:14" x14ac:dyDescent="0.25">
      <c r="B9" s="3" t="s">
        <v>19</v>
      </c>
      <c r="C9" s="9">
        <v>43298</v>
      </c>
      <c r="D9" s="4">
        <v>168</v>
      </c>
      <c r="E9" s="4">
        <v>208</v>
      </c>
      <c r="F9" s="4">
        <v>1028</v>
      </c>
      <c r="G9" s="4">
        <v>462</v>
      </c>
      <c r="H9" s="4">
        <v>3500</v>
      </c>
      <c r="I9" s="4">
        <v>5900</v>
      </c>
      <c r="J9" s="4"/>
      <c r="K9" s="4"/>
      <c r="M9" s="5">
        <f>(D9*H9*I9/E9/F9/D$19/H$19/I$19*E$19*F$19)^(1/5)</f>
        <v>1.3899536221797097</v>
      </c>
      <c r="N9" s="7">
        <f t="shared" si="0"/>
        <v>40.084769689268903</v>
      </c>
    </row>
    <row r="10" spans="2:14" x14ac:dyDescent="0.25">
      <c r="B10" s="3" t="s">
        <v>8</v>
      </c>
      <c r="C10" s="4" t="s">
        <v>20</v>
      </c>
      <c r="D10" s="4">
        <v>171</v>
      </c>
      <c r="E10" s="4">
        <v>190</v>
      </c>
      <c r="F10" s="4">
        <v>1118</v>
      </c>
      <c r="G10" s="4">
        <v>391</v>
      </c>
      <c r="H10" s="4">
        <v>3360</v>
      </c>
      <c r="I10" s="4">
        <v>5354</v>
      </c>
      <c r="J10" s="4"/>
      <c r="K10" s="4"/>
      <c r="M10" s="5">
        <f>(D10*H10*I10/E10/F10/D$19/H$19/I$19*E$19*F$19)^(1/5)</f>
        <v>1.3587182288773423</v>
      </c>
      <c r="N10" s="7">
        <f t="shared" si="0"/>
        <v>39.183974492436612</v>
      </c>
    </row>
    <row r="11" spans="2:14" x14ac:dyDescent="0.25">
      <c r="B11" s="3" t="s">
        <v>9</v>
      </c>
      <c r="C11" s="4"/>
      <c r="D11" s="4">
        <v>119</v>
      </c>
      <c r="E11" s="4">
        <v>215</v>
      </c>
      <c r="F11" s="4">
        <v>1744</v>
      </c>
      <c r="G11" s="4">
        <v>419</v>
      </c>
      <c r="H11" s="4">
        <v>2570</v>
      </c>
      <c r="I11" s="4">
        <v>4470</v>
      </c>
      <c r="J11" s="4"/>
      <c r="K11" s="4"/>
      <c r="M11" s="5">
        <f>(D11*H11*I11/E11/F11/D$19/H$19/I$19*E$19*F$19)^(1/5)</f>
        <v>1.0311604930053104</v>
      </c>
      <c r="N11" s="7">
        <f t="shared" si="0"/>
        <v>29.73756117845975</v>
      </c>
    </row>
    <row r="12" spans="2:14" x14ac:dyDescent="0.25">
      <c r="B12" s="3" t="s">
        <v>10</v>
      </c>
      <c r="C12" s="4"/>
      <c r="D12" s="4">
        <v>50</v>
      </c>
      <c r="E12" s="4">
        <v>445</v>
      </c>
      <c r="F12" s="4">
        <v>3490</v>
      </c>
      <c r="G12" s="4">
        <v>419</v>
      </c>
      <c r="H12" s="4">
        <v>1440</v>
      </c>
      <c r="I12" s="4">
        <v>2620</v>
      </c>
      <c r="J12" s="4"/>
      <c r="K12" s="4"/>
      <c r="M12" s="5">
        <f>(D12*H12*I12/E12/F12/D$19/H$19/I$19*E$19*F$19)^(1/5)</f>
        <v>0.52222228652570879</v>
      </c>
      <c r="N12" s="7">
        <f t="shared" si="0"/>
        <v>15.060329890114811</v>
      </c>
    </row>
    <row r="13" spans="2:14" x14ac:dyDescent="0.25">
      <c r="B13" s="3" t="s">
        <v>234</v>
      </c>
      <c r="C13" s="9">
        <v>40271</v>
      </c>
      <c r="D13" s="4"/>
      <c r="E13" s="4">
        <v>2859</v>
      </c>
      <c r="F13" s="4">
        <v>128746</v>
      </c>
      <c r="G13" s="4">
        <v>269</v>
      </c>
      <c r="H13" s="4">
        <v>123</v>
      </c>
      <c r="I13" s="4">
        <v>123</v>
      </c>
      <c r="J13" s="21">
        <f t="shared" ref="J13" si="1">J$15*(H13/H$15)</f>
        <v>23.721428571428572</v>
      </c>
      <c r="K13" s="21">
        <f t="shared" ref="K13:K14" si="2">K$15*(I13/I$15)</f>
        <v>24.892857142857142</v>
      </c>
      <c r="M13" s="5">
        <f>(H13*I13/E13/F13/H$19/I$19*E$19*F$19)^(1/4)</f>
        <v>3.467535507761229E-2</v>
      </c>
      <c r="N13" s="7">
        <f t="shared" si="0"/>
        <v>1</v>
      </c>
    </row>
    <row r="14" spans="2:14" x14ac:dyDescent="0.25">
      <c r="B14" s="3" t="s">
        <v>235</v>
      </c>
      <c r="C14" s="9">
        <v>40984</v>
      </c>
      <c r="D14" s="4">
        <v>11</v>
      </c>
      <c r="E14" s="4">
        <v>1496</v>
      </c>
      <c r="F14" s="4">
        <v>29603</v>
      </c>
      <c r="G14" s="4">
        <v>405</v>
      </c>
      <c r="H14" s="4">
        <v>335</v>
      </c>
      <c r="I14" s="4">
        <v>575</v>
      </c>
      <c r="J14" s="21">
        <f>J$15*(H14/H$15)</f>
        <v>64.607142857142861</v>
      </c>
      <c r="K14" s="21">
        <f t="shared" si="2"/>
        <v>116.36904761904762</v>
      </c>
      <c r="M14" s="5">
        <f t="shared" ref="M14:M23" si="3">(D14*H14*I14/E14/F14/D$19/H$19/I$19*E$19*F$19)^(1/5)</f>
        <v>0.10887629550231551</v>
      </c>
      <c r="N14" s="7">
        <f t="shared" si="0"/>
        <v>3.1398754319493651</v>
      </c>
    </row>
    <row r="15" spans="2:14" x14ac:dyDescent="0.25">
      <c r="B15" s="3" t="s">
        <v>232</v>
      </c>
      <c r="C15" s="9">
        <v>41590</v>
      </c>
      <c r="D15" s="4">
        <v>53</v>
      </c>
      <c r="E15" s="4">
        <v>477</v>
      </c>
      <c r="F15" s="4">
        <v>3530</v>
      </c>
      <c r="G15" s="4">
        <v>419</v>
      </c>
      <c r="H15" s="4">
        <v>1400</v>
      </c>
      <c r="I15" s="4">
        <v>2520</v>
      </c>
      <c r="J15" s="4">
        <v>270</v>
      </c>
      <c r="K15" s="4">
        <v>510</v>
      </c>
      <c r="M15" s="5">
        <f t="shared" si="3"/>
        <v>0.51294169707556325</v>
      </c>
      <c r="N15" s="7">
        <f t="shared" si="0"/>
        <v>14.792687657486676</v>
      </c>
    </row>
    <row r="16" spans="2:14" x14ac:dyDescent="0.25">
      <c r="B16" s="3" t="s">
        <v>22</v>
      </c>
      <c r="C16" s="9">
        <v>43299</v>
      </c>
      <c r="D16" s="4">
        <v>97</v>
      </c>
      <c r="E16" s="4">
        <v>126</v>
      </c>
      <c r="F16" s="4">
        <v>2536</v>
      </c>
      <c r="G16" s="4">
        <v>302</v>
      </c>
      <c r="H16" s="4">
        <v>3767</v>
      </c>
      <c r="I16" s="4">
        <v>12210</v>
      </c>
      <c r="J16" s="4"/>
      <c r="K16" s="4"/>
      <c r="M16" s="5">
        <f t="shared" si="3"/>
        <v>1.3488336029770183</v>
      </c>
      <c r="N16" s="7">
        <f t="shared" ref="N16" si="4">M16/M$13</f>
        <v>38.89891249730492</v>
      </c>
    </row>
    <row r="17" spans="2:14" x14ac:dyDescent="0.25">
      <c r="B17" s="3" t="s">
        <v>21</v>
      </c>
      <c r="C17" s="9">
        <v>43298</v>
      </c>
      <c r="D17" s="4">
        <v>86</v>
      </c>
      <c r="E17" s="4">
        <v>565</v>
      </c>
      <c r="F17" s="4">
        <v>1772</v>
      </c>
      <c r="G17" s="4">
        <v>515</v>
      </c>
      <c r="H17" s="4">
        <v>3500</v>
      </c>
      <c r="I17" s="4">
        <v>7000</v>
      </c>
      <c r="J17" s="4"/>
      <c r="K17" s="4"/>
      <c r="M17" s="5">
        <f t="shared" si="3"/>
        <v>0.92383881696355419</v>
      </c>
      <c r="N17" s="7">
        <f>M17/M$13</f>
        <v>26.64251930213165</v>
      </c>
    </row>
    <row r="18" spans="2:14" x14ac:dyDescent="0.25">
      <c r="B18" s="3" t="s">
        <v>17</v>
      </c>
      <c r="C18" s="9">
        <v>43298</v>
      </c>
      <c r="D18" s="4">
        <v>103</v>
      </c>
      <c r="E18" s="4">
        <v>387</v>
      </c>
      <c r="F18" s="4">
        <v>1754</v>
      </c>
      <c r="G18" s="4">
        <v>494</v>
      </c>
      <c r="H18" s="4">
        <v>2440</v>
      </c>
      <c r="I18" s="4">
        <v>5270</v>
      </c>
      <c r="J18" s="4"/>
      <c r="K18" s="4"/>
      <c r="M18" s="5">
        <f t="shared" si="3"/>
        <v>0.90996597657809286</v>
      </c>
      <c r="N18" s="7">
        <f>M18/M$13</f>
        <v>26.242441484488246</v>
      </c>
    </row>
    <row r="19" spans="2:14" x14ac:dyDescent="0.25">
      <c r="B19" s="3" t="s">
        <v>3</v>
      </c>
      <c r="C19" s="4"/>
      <c r="D19" s="4">
        <v>110</v>
      </c>
      <c r="E19" s="4">
        <v>285</v>
      </c>
      <c r="F19" s="4">
        <v>1587</v>
      </c>
      <c r="G19" s="4">
        <v>478</v>
      </c>
      <c r="H19" s="4">
        <v>2440</v>
      </c>
      <c r="I19" s="4">
        <v>5270</v>
      </c>
      <c r="J19" s="4">
        <v>500</v>
      </c>
      <c r="K19" s="4">
        <v>1150</v>
      </c>
      <c r="M19" s="5">
        <f>(D19*J19*K19/E19/F19/D$19/J$19/K$19*E$19*F$19)^(1/5)</f>
        <v>1</v>
      </c>
      <c r="N19" s="7">
        <f>M19/M$13</f>
        <v>28.83892602575359</v>
      </c>
    </row>
    <row r="20" spans="2:14" x14ac:dyDescent="0.25">
      <c r="B20" s="3" t="s">
        <v>15</v>
      </c>
      <c r="C20" s="9">
        <v>43298</v>
      </c>
      <c r="D20" s="4">
        <v>99</v>
      </c>
      <c r="E20" s="4">
        <v>425</v>
      </c>
      <c r="F20" s="4">
        <v>1836</v>
      </c>
      <c r="G20" s="4">
        <v>515</v>
      </c>
      <c r="H20" s="4">
        <v>2440</v>
      </c>
      <c r="I20" s="4">
        <v>5270</v>
      </c>
      <c r="J20" s="4"/>
      <c r="K20" s="4"/>
      <c r="M20" s="5">
        <f t="shared" si="3"/>
        <v>0.87797174145713208</v>
      </c>
      <c r="N20" s="7">
        <f>M20/M$13</f>
        <v>25.319762104584289</v>
      </c>
    </row>
    <row r="21" spans="2:14" x14ac:dyDescent="0.25">
      <c r="B21" s="3" t="s">
        <v>1</v>
      </c>
      <c r="C21" s="4"/>
      <c r="D21" s="4">
        <v>131</v>
      </c>
      <c r="E21" s="4">
        <v>251</v>
      </c>
      <c r="F21" s="4">
        <v>1389</v>
      </c>
      <c r="G21" s="4">
        <v>521</v>
      </c>
      <c r="H21" s="4">
        <v>2440</v>
      </c>
      <c r="I21" s="4">
        <v>5270</v>
      </c>
      <c r="J21" s="4"/>
      <c r="K21" s="4"/>
      <c r="M21" s="5">
        <f t="shared" si="3"/>
        <v>1.0908998599742226</v>
      </c>
      <c r="N21" s="7">
        <f t="shared" ref="N21:N22" si="5">M21/M$13</f>
        <v>31.460380363301557</v>
      </c>
    </row>
    <row r="22" spans="2:14" x14ac:dyDescent="0.25">
      <c r="B22" s="3" t="s">
        <v>18</v>
      </c>
      <c r="C22" s="9">
        <v>43298</v>
      </c>
      <c r="D22" s="4">
        <v>139</v>
      </c>
      <c r="E22" s="4">
        <v>152</v>
      </c>
      <c r="F22" s="4">
        <v>2072</v>
      </c>
      <c r="G22" s="4">
        <v>492</v>
      </c>
      <c r="H22" s="4">
        <v>2440</v>
      </c>
      <c r="I22" s="4">
        <v>5270</v>
      </c>
      <c r="J22" s="4"/>
      <c r="K22" s="4"/>
      <c r="M22" s="5">
        <f t="shared" si="3"/>
        <v>1.1265801960140926</v>
      </c>
      <c r="N22" s="7">
        <f t="shared" si="5"/>
        <v>32.489362934929396</v>
      </c>
    </row>
    <row r="23" spans="2:14" x14ac:dyDescent="0.25">
      <c r="B23" s="3" t="s">
        <v>2</v>
      </c>
      <c r="C23" s="4"/>
      <c r="D23" s="4">
        <v>163</v>
      </c>
      <c r="E23" s="4">
        <v>113</v>
      </c>
      <c r="F23" s="4">
        <v>1608</v>
      </c>
      <c r="G23" s="4">
        <v>453</v>
      </c>
      <c r="H23" s="4">
        <v>2440</v>
      </c>
      <c r="I23" s="4">
        <v>5270</v>
      </c>
      <c r="J23" s="4"/>
      <c r="K23" s="4"/>
      <c r="M23" s="5">
        <f t="shared" si="3"/>
        <v>1.2982862083460331</v>
      </c>
      <c r="N23" s="7">
        <f>M23/M$13</f>
        <v>37.441179922747367</v>
      </c>
    </row>
    <row r="24" spans="2:14" x14ac:dyDescent="0.25">
      <c r="B24" s="3" t="s">
        <v>33</v>
      </c>
      <c r="C24" s="9">
        <v>43895</v>
      </c>
      <c r="D24" s="4">
        <v>251</v>
      </c>
      <c r="E24" s="4">
        <v>88</v>
      </c>
      <c r="F24" s="4">
        <v>1093</v>
      </c>
      <c r="G24" s="4">
        <v>492</v>
      </c>
      <c r="H24" s="4">
        <v>6000</v>
      </c>
      <c r="I24" s="4">
        <v>32000</v>
      </c>
      <c r="J24" s="4">
        <v>1296</v>
      </c>
      <c r="K24" s="4">
        <v>8091</v>
      </c>
      <c r="M24" s="5">
        <f>(D24*J24*K24/E24/F24/D$19/J$19/K$19*E$19*F$19)^(1/5)</f>
        <v>2.8728163869412526</v>
      </c>
      <c r="N24" s="7">
        <f>M24/M$13</f>
        <v>82.848939268571485</v>
      </c>
    </row>
    <row r="25" spans="2:14" x14ac:dyDescent="0.25">
      <c r="B25" s="3" t="s">
        <v>32</v>
      </c>
      <c r="C25" s="9">
        <v>43895</v>
      </c>
      <c r="D25" s="4">
        <v>211</v>
      </c>
      <c r="E25" s="4">
        <v>233</v>
      </c>
      <c r="F25" s="4">
        <v>964</v>
      </c>
      <c r="G25" s="4">
        <v>476</v>
      </c>
      <c r="H25" s="4">
        <v>6000</v>
      </c>
      <c r="I25" s="4">
        <v>32000</v>
      </c>
      <c r="J25" s="4">
        <v>1296</v>
      </c>
      <c r="K25" s="4">
        <v>8091</v>
      </c>
      <c r="M25" s="5">
        <f>(D25*J25*K25/E25/F25/D$19/J$19/K$19*E$19*F$19)^(1/5)</f>
        <v>2.3418743613304764</v>
      </c>
      <c r="N25" s="7">
        <f t="shared" ref="N25" si="6">M25/M$13</f>
        <v>67.537141468018547</v>
      </c>
    </row>
    <row r="26" spans="2:14" x14ac:dyDescent="0.25">
      <c r="B26" s="3" t="s">
        <v>27</v>
      </c>
      <c r="C26" s="9">
        <v>43895</v>
      </c>
      <c r="D26" s="4">
        <v>218</v>
      </c>
      <c r="E26" s="4">
        <v>155</v>
      </c>
      <c r="F26" s="4">
        <v>863</v>
      </c>
      <c r="G26" s="4">
        <v>470</v>
      </c>
      <c r="H26" s="4">
        <v>6000</v>
      </c>
      <c r="I26" s="4">
        <v>32000</v>
      </c>
      <c r="J26" s="4">
        <v>1296</v>
      </c>
      <c r="K26" s="4">
        <v>8091</v>
      </c>
      <c r="M26" s="5">
        <f>(D26*J26*K26/E26/F26/D$19/J$19/K$19*E$19*F$19)^(1/5)</f>
        <v>2.6146676395318535</v>
      </c>
      <c r="N26" s="7">
        <f>M26/M$13</f>
        <v>75.404206638390875</v>
      </c>
    </row>
    <row r="27" spans="2:14" x14ac:dyDescent="0.25">
      <c r="B27" s="3" t="s">
        <v>7</v>
      </c>
      <c r="C27" s="11">
        <v>42552</v>
      </c>
      <c r="D27" s="4"/>
      <c r="E27" s="4"/>
      <c r="F27" s="4"/>
      <c r="G27" s="4"/>
      <c r="H27" s="4">
        <v>7160</v>
      </c>
      <c r="I27" s="4">
        <v>27730</v>
      </c>
      <c r="J27" s="4"/>
      <c r="K27" s="4"/>
      <c r="M27" s="5">
        <f>(H27*I27/H$19/I$19)^(1/2)</f>
        <v>3.9294450975935944</v>
      </c>
      <c r="N27" s="7">
        <f>M27/M$13</f>
        <v>113.32097649176177</v>
      </c>
    </row>
    <row r="28" spans="2:14" x14ac:dyDescent="0.25">
      <c r="B28" s="3" t="s">
        <v>11</v>
      </c>
      <c r="C28" s="11">
        <v>42917</v>
      </c>
      <c r="D28" s="4"/>
      <c r="E28" s="4">
        <v>135</v>
      </c>
      <c r="F28" s="4">
        <v>622</v>
      </c>
      <c r="G28" s="4"/>
      <c r="H28" s="4">
        <v>7746</v>
      </c>
      <c r="I28" s="4">
        <v>30188</v>
      </c>
      <c r="J28" s="4"/>
      <c r="K28" s="4"/>
      <c r="M28" s="5">
        <f>(H28*I28*E$19*F$19/H$19/I$19/E28/F28)^(1/4)</f>
        <v>3.1459531915882994</v>
      </c>
      <c r="N28" s="7">
        <f t="shared" ref="N28:N29" si="7">M28/M$13</f>
        <v>90.725911372698377</v>
      </c>
    </row>
    <row r="29" spans="2:14" x14ac:dyDescent="0.25">
      <c r="B29" s="3" t="s">
        <v>23</v>
      </c>
      <c r="C29" s="11">
        <v>43299</v>
      </c>
      <c r="D29" s="4"/>
      <c r="E29" s="4"/>
      <c r="F29" s="4"/>
      <c r="G29" s="4"/>
      <c r="H29" s="4">
        <v>5324</v>
      </c>
      <c r="I29" s="4">
        <v>39218</v>
      </c>
      <c r="J29" s="4"/>
      <c r="K29" s="4"/>
      <c r="M29" s="5">
        <f>(H29*I29/H$19/I$19)^(1/2)</f>
        <v>4.0295961574824624</v>
      </c>
      <c r="N29" s="7">
        <f t="shared" si="7"/>
        <v>116.20922549929765</v>
      </c>
    </row>
    <row r="30" spans="2:14" x14ac:dyDescent="0.25">
      <c r="B30" s="3" t="s">
        <v>25</v>
      </c>
      <c r="C30" s="11">
        <v>43391</v>
      </c>
      <c r="D30" s="4"/>
      <c r="E30" s="4"/>
      <c r="F30" s="4"/>
      <c r="G30" s="4"/>
      <c r="H30" s="4">
        <v>6161</v>
      </c>
      <c r="I30" s="4">
        <v>33248</v>
      </c>
      <c r="J30" s="4"/>
      <c r="K30" s="4"/>
      <c r="M30" s="5">
        <f>(H30*I30/H$19/I$19)^(1/2)</f>
        <v>3.9912427858164765</v>
      </c>
      <c r="N30" s="7">
        <f t="shared" ref="N30" si="8">M30/M$13</f>
        <v>115.10315545098405</v>
      </c>
    </row>
    <row r="31" spans="2:14" x14ac:dyDescent="0.25">
      <c r="B31" s="3" t="s">
        <v>26</v>
      </c>
      <c r="C31" s="11">
        <v>43002</v>
      </c>
      <c r="D31" s="4"/>
      <c r="E31" s="4"/>
      <c r="F31" s="4"/>
      <c r="G31" s="4"/>
      <c r="H31" s="4">
        <v>5302</v>
      </c>
      <c r="I31" s="4">
        <v>23044</v>
      </c>
      <c r="J31" s="4"/>
      <c r="K31" s="4"/>
      <c r="M31" s="5">
        <f>(H31*I31/H$19/I$19)^(1/2)</f>
        <v>3.0824679818779268</v>
      </c>
      <c r="N31" s="7">
        <f t="shared" ref="N31" si="9">M31/M$13</f>
        <v>88.895066106131495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9431-00D7-4157-8F6C-390A6DE3E58B}">
  <sheetPr>
    <pageSetUpPr fitToPage="1"/>
  </sheetPr>
  <dimension ref="B1:X48"/>
  <sheetViews>
    <sheetView tabSelected="1" zoomScale="70" zoomScaleNormal="70" workbookViewId="0">
      <selection activeCell="L7" sqref="L7"/>
    </sheetView>
  </sheetViews>
  <sheetFormatPr defaultRowHeight="15" x14ac:dyDescent="0.25"/>
  <cols>
    <col min="2" max="2" width="22.140625" customWidth="1"/>
    <col min="3" max="4" width="12.85546875" customWidth="1"/>
    <col min="5" max="11" width="9.140625" style="10"/>
    <col min="12" max="12" width="11.140625" style="10" customWidth="1"/>
    <col min="13" max="15" width="9.140625" style="10"/>
    <col min="16" max="16" width="10.42578125" style="10" bestFit="1" customWidth="1"/>
    <col min="17" max="17" width="10.85546875" style="10" customWidth="1"/>
    <col min="18" max="22" width="9.140625" style="10"/>
    <col min="23" max="24" width="47" customWidth="1"/>
  </cols>
  <sheetData>
    <row r="1" spans="2:24" x14ac:dyDescent="0.25">
      <c r="L1" s="55" t="s">
        <v>219</v>
      </c>
      <c r="M1" s="55"/>
      <c r="N1" s="55"/>
      <c r="O1" s="55"/>
      <c r="P1" s="20"/>
      <c r="Q1" s="56" t="s">
        <v>220</v>
      </c>
      <c r="R1" s="56"/>
      <c r="S1" s="56"/>
      <c r="T1" s="56"/>
      <c r="U1" s="56"/>
      <c r="V1" s="56"/>
    </row>
    <row r="2" spans="2:24" ht="43.5" customHeight="1" x14ac:dyDescent="0.25">
      <c r="B2" s="15" t="s">
        <v>165</v>
      </c>
      <c r="C2" s="15" t="s">
        <v>166</v>
      </c>
      <c r="D2" s="15" t="s">
        <v>0</v>
      </c>
      <c r="E2" s="2" t="s">
        <v>169</v>
      </c>
      <c r="F2" s="2" t="s">
        <v>170</v>
      </c>
      <c r="G2" s="2" t="s">
        <v>231</v>
      </c>
      <c r="H2" s="2" t="s">
        <v>230</v>
      </c>
      <c r="I2" s="2" t="s">
        <v>228</v>
      </c>
      <c r="J2" s="2" t="s">
        <v>229</v>
      </c>
      <c r="K2" s="16" t="s">
        <v>177</v>
      </c>
      <c r="L2" s="17" t="s">
        <v>221</v>
      </c>
      <c r="M2" s="17" t="s">
        <v>217</v>
      </c>
      <c r="N2" s="17" t="s">
        <v>218</v>
      </c>
      <c r="O2" s="17" t="s">
        <v>287</v>
      </c>
      <c r="P2" s="52" t="s">
        <v>331</v>
      </c>
      <c r="Q2" s="19" t="s">
        <v>221</v>
      </c>
      <c r="R2" s="19" t="s">
        <v>217</v>
      </c>
      <c r="S2" s="19" t="s">
        <v>218</v>
      </c>
      <c r="T2" s="19" t="s">
        <v>287</v>
      </c>
      <c r="U2" s="53" t="s">
        <v>332</v>
      </c>
      <c r="V2" s="19" t="s">
        <v>337</v>
      </c>
      <c r="W2" s="18" t="s">
        <v>173</v>
      </c>
      <c r="X2" s="18" t="s">
        <v>270</v>
      </c>
    </row>
    <row r="3" spans="2:24" x14ac:dyDescent="0.25">
      <c r="B3" s="26" t="s">
        <v>339</v>
      </c>
      <c r="C3" s="26" t="s">
        <v>167</v>
      </c>
      <c r="D3" s="26"/>
      <c r="E3" s="27" t="s">
        <v>340</v>
      </c>
      <c r="F3" s="27">
        <v>32</v>
      </c>
      <c r="G3" s="36" t="s">
        <v>341</v>
      </c>
      <c r="H3" s="27" t="s">
        <v>374</v>
      </c>
      <c r="I3" s="27" t="s">
        <v>297</v>
      </c>
      <c r="J3" s="27" t="s">
        <v>355</v>
      </c>
      <c r="K3" s="50" t="s">
        <v>342</v>
      </c>
      <c r="L3" s="27">
        <v>2240</v>
      </c>
      <c r="M3" s="27" t="s">
        <v>343</v>
      </c>
      <c r="N3" s="27" t="s">
        <v>344</v>
      </c>
      <c r="O3" s="27" t="s">
        <v>345</v>
      </c>
      <c r="P3" s="28">
        <f>SQRT(L3*12.04)/100</f>
        <v>1.6422423694449</v>
      </c>
      <c r="Q3" s="27">
        <v>25406</v>
      </c>
      <c r="R3" s="27">
        <v>108.5</v>
      </c>
      <c r="S3" s="27">
        <v>108.29</v>
      </c>
      <c r="T3" s="28">
        <f>SQRT(R3*S3)</f>
        <v>108.3949491443213</v>
      </c>
      <c r="U3" s="28">
        <f>SQRT(Q3*T3)/100</f>
        <v>16.59482472929626</v>
      </c>
      <c r="V3" s="28">
        <f>SQRT(Q3*T3/(L3*10.74))/16</f>
        <v>0.66869263107655286</v>
      </c>
      <c r="W3" s="26" t="s">
        <v>346</v>
      </c>
      <c r="X3" s="26"/>
    </row>
    <row r="4" spans="2:24" x14ac:dyDescent="0.25">
      <c r="B4" s="26" t="s">
        <v>347</v>
      </c>
      <c r="C4" s="26" t="s">
        <v>167</v>
      </c>
      <c r="D4" s="26"/>
      <c r="E4" s="27">
        <v>16</v>
      </c>
      <c r="F4" s="27">
        <v>32</v>
      </c>
      <c r="G4" s="36">
        <v>4.5</v>
      </c>
      <c r="H4" s="27">
        <v>5.7</v>
      </c>
      <c r="I4" s="27" t="s">
        <v>348</v>
      </c>
      <c r="J4" s="27">
        <v>170</v>
      </c>
      <c r="K4" s="50" t="s">
        <v>349</v>
      </c>
      <c r="L4" s="27">
        <v>2191</v>
      </c>
      <c r="M4" s="27">
        <v>9.39</v>
      </c>
      <c r="N4" s="27">
        <v>15.07</v>
      </c>
      <c r="O4" s="28">
        <f>SQRT(M4*N4)</f>
        <v>11.895684091299668</v>
      </c>
      <c r="P4" s="28">
        <f>SQRT(L4*O4)/100</f>
        <v>1.6144176610789902</v>
      </c>
      <c r="Q4" s="27">
        <v>22974</v>
      </c>
      <c r="R4" s="27">
        <v>113.28</v>
      </c>
      <c r="S4" s="27">
        <v>92.56</v>
      </c>
      <c r="T4" s="28">
        <f>SQRT(R4*S4)</f>
        <v>102.39724996307274</v>
      </c>
      <c r="U4" s="28">
        <f>SQRT(Q4*T4)/100</f>
        <v>15.337778263658768</v>
      </c>
      <c r="V4" s="28">
        <f>SQRT(Q4*T4/(L4*10.74))/16</f>
        <v>0.62491240065714226</v>
      </c>
      <c r="W4" s="26" t="s">
        <v>350</v>
      </c>
      <c r="X4" s="26"/>
    </row>
    <row r="5" spans="2:24" x14ac:dyDescent="0.25">
      <c r="B5" s="22" t="s">
        <v>351</v>
      </c>
      <c r="C5" s="22" t="s">
        <v>175</v>
      </c>
      <c r="D5" s="22"/>
      <c r="E5" s="20" t="s">
        <v>340</v>
      </c>
      <c r="F5" s="20">
        <v>32</v>
      </c>
      <c r="G5" s="37" t="s">
        <v>373</v>
      </c>
      <c r="H5" s="20" t="s">
        <v>353</v>
      </c>
      <c r="I5" s="20" t="s">
        <v>354</v>
      </c>
      <c r="J5" s="20" t="s">
        <v>356</v>
      </c>
      <c r="K5" s="50" t="s">
        <v>357</v>
      </c>
      <c r="L5" s="20">
        <v>2139</v>
      </c>
      <c r="M5" s="20"/>
      <c r="N5" s="20"/>
      <c r="O5" s="20"/>
      <c r="P5" s="24"/>
      <c r="Q5" s="20">
        <v>21303</v>
      </c>
      <c r="R5" s="20"/>
      <c r="S5" s="20"/>
      <c r="T5" s="24"/>
      <c r="U5" s="24"/>
      <c r="V5" s="24"/>
      <c r="W5" s="22" t="s">
        <v>371</v>
      </c>
      <c r="X5" s="22"/>
    </row>
    <row r="6" spans="2:24" x14ac:dyDescent="0.25">
      <c r="B6" s="22" t="s">
        <v>352</v>
      </c>
      <c r="C6" s="22" t="s">
        <v>175</v>
      </c>
      <c r="D6" s="22"/>
      <c r="E6" s="20" t="s">
        <v>340</v>
      </c>
      <c r="F6" s="20">
        <v>32</v>
      </c>
      <c r="G6" s="37" t="s">
        <v>358</v>
      </c>
      <c r="H6" s="20" t="s">
        <v>359</v>
      </c>
      <c r="I6" s="20" t="s">
        <v>297</v>
      </c>
      <c r="J6" s="20" t="s">
        <v>360</v>
      </c>
      <c r="K6" s="50" t="s">
        <v>361</v>
      </c>
      <c r="L6" s="20">
        <v>2100</v>
      </c>
      <c r="M6" s="20"/>
      <c r="N6" s="20"/>
      <c r="O6" s="20"/>
      <c r="P6" s="24"/>
      <c r="Q6" s="20">
        <v>16000</v>
      </c>
      <c r="R6" s="20"/>
      <c r="S6" s="20"/>
      <c r="T6" s="24"/>
      <c r="U6" s="24"/>
      <c r="V6" s="24"/>
      <c r="W6" s="22" t="s">
        <v>372</v>
      </c>
      <c r="X6" s="22"/>
    </row>
    <row r="7" spans="2:24" x14ac:dyDescent="0.25">
      <c r="B7" s="22" t="s">
        <v>362</v>
      </c>
      <c r="C7" s="22" t="s">
        <v>175</v>
      </c>
      <c r="D7" s="22"/>
      <c r="E7" s="20">
        <v>16</v>
      </c>
      <c r="F7" s="20">
        <v>32</v>
      </c>
      <c r="G7" s="37">
        <v>2.5</v>
      </c>
      <c r="H7" s="20">
        <v>5.4</v>
      </c>
      <c r="I7" s="20" t="s">
        <v>363</v>
      </c>
      <c r="J7" s="20">
        <v>55</v>
      </c>
      <c r="K7" s="50" t="s">
        <v>361</v>
      </c>
      <c r="L7" s="20"/>
      <c r="M7" s="20"/>
      <c r="N7" s="20"/>
      <c r="O7" s="20"/>
      <c r="P7" s="24"/>
      <c r="Q7" s="20"/>
      <c r="R7" s="20"/>
      <c r="S7" s="20"/>
      <c r="T7" s="24"/>
      <c r="U7" s="24"/>
      <c r="V7" s="24"/>
      <c r="W7" s="22" t="s">
        <v>370</v>
      </c>
      <c r="X7" s="22"/>
    </row>
    <row r="8" spans="2:24" x14ac:dyDescent="0.25">
      <c r="B8" s="32" t="s">
        <v>364</v>
      </c>
      <c r="C8" s="32" t="s">
        <v>175</v>
      </c>
      <c r="D8" s="32" t="s">
        <v>261</v>
      </c>
      <c r="E8" s="33" t="s">
        <v>367</v>
      </c>
      <c r="F8" s="33">
        <v>8</v>
      </c>
      <c r="G8" s="35">
        <v>3.49</v>
      </c>
      <c r="H8" s="33"/>
      <c r="I8" s="33" t="s">
        <v>366</v>
      </c>
      <c r="J8" s="33">
        <v>20</v>
      </c>
      <c r="K8" s="51">
        <v>2023</v>
      </c>
      <c r="L8" s="33">
        <v>1891</v>
      </c>
      <c r="M8" s="33"/>
      <c r="N8" s="33"/>
      <c r="O8" s="33"/>
      <c r="P8" s="35"/>
      <c r="Q8" s="33">
        <v>8738</v>
      </c>
      <c r="R8" s="33"/>
      <c r="S8" s="33"/>
      <c r="T8" s="35"/>
      <c r="U8" s="35"/>
      <c r="V8" s="35"/>
      <c r="W8" s="32" t="s">
        <v>365</v>
      </c>
      <c r="X8" s="32"/>
    </row>
    <row r="9" spans="2:24" x14ac:dyDescent="0.25">
      <c r="B9" s="58" t="s">
        <v>368</v>
      </c>
      <c r="C9" s="58" t="s">
        <v>183</v>
      </c>
      <c r="D9" s="58"/>
      <c r="E9" s="57">
        <v>56</v>
      </c>
      <c r="F9" s="57">
        <v>112</v>
      </c>
      <c r="G9" s="59">
        <v>2</v>
      </c>
      <c r="H9" s="57">
        <v>3.8</v>
      </c>
      <c r="I9" s="57"/>
      <c r="J9" s="57">
        <v>350</v>
      </c>
      <c r="K9" s="50">
        <v>2023</v>
      </c>
      <c r="L9" s="57">
        <v>1498</v>
      </c>
      <c r="M9" s="57"/>
      <c r="N9" s="57"/>
      <c r="O9" s="57"/>
      <c r="P9" s="60"/>
      <c r="Q9" s="57">
        <v>37500</v>
      </c>
      <c r="R9" s="57"/>
      <c r="S9" s="57"/>
      <c r="T9" s="60"/>
      <c r="U9" s="60"/>
      <c r="V9" s="60"/>
      <c r="W9" s="58"/>
      <c r="X9" s="58"/>
    </row>
    <row r="10" spans="2:24" x14ac:dyDescent="0.25">
      <c r="B10" s="26" t="s">
        <v>288</v>
      </c>
      <c r="C10" s="26" t="s">
        <v>167</v>
      </c>
      <c r="D10" s="26"/>
      <c r="E10" s="27" t="s">
        <v>296</v>
      </c>
      <c r="F10" s="27">
        <v>24</v>
      </c>
      <c r="G10" s="36">
        <v>3.2</v>
      </c>
      <c r="H10" s="27">
        <v>5.2</v>
      </c>
      <c r="I10" s="27" t="s">
        <v>297</v>
      </c>
      <c r="J10" s="27" t="s">
        <v>304</v>
      </c>
      <c r="K10" s="27" t="s">
        <v>302</v>
      </c>
      <c r="L10" s="27">
        <v>2000</v>
      </c>
      <c r="M10" s="27" t="s">
        <v>328</v>
      </c>
      <c r="N10" s="27" t="s">
        <v>329</v>
      </c>
      <c r="O10" s="27" t="s">
        <v>330</v>
      </c>
      <c r="P10" s="28">
        <f>SQRT(L10*10.74)/100</f>
        <v>1.4656056768449008</v>
      </c>
      <c r="Q10" s="27">
        <v>18500</v>
      </c>
      <c r="R10" s="27">
        <v>80.5</v>
      </c>
      <c r="S10" s="27">
        <v>81.8</v>
      </c>
      <c r="T10" s="28">
        <f>SQRT(R10*S10)</f>
        <v>81.147396754301369</v>
      </c>
      <c r="U10" s="28">
        <f>SQRT(Q10*T10)/100</f>
        <v>12.252456243360248</v>
      </c>
      <c r="V10" s="28">
        <f>SQRT(Q10*T10/(L10*10.74))/16</f>
        <v>0.5224996923173455</v>
      </c>
      <c r="W10" s="26" t="s">
        <v>294</v>
      </c>
      <c r="X10" s="26" t="s">
        <v>294</v>
      </c>
    </row>
    <row r="11" spans="2:24" x14ac:dyDescent="0.25">
      <c r="B11" s="26" t="s">
        <v>289</v>
      </c>
      <c r="C11" s="26" t="s">
        <v>167</v>
      </c>
      <c r="D11" s="26"/>
      <c r="E11" s="27">
        <v>8</v>
      </c>
      <c r="F11" s="27">
        <v>16</v>
      </c>
      <c r="G11" s="36">
        <v>3.5</v>
      </c>
      <c r="H11" s="27">
        <v>5.3</v>
      </c>
      <c r="I11" s="27" t="s">
        <v>303</v>
      </c>
      <c r="J11" s="27">
        <v>125</v>
      </c>
      <c r="K11" s="27" t="s">
        <v>301</v>
      </c>
      <c r="L11" s="27">
        <v>1840</v>
      </c>
      <c r="M11" s="27">
        <v>6.87</v>
      </c>
      <c r="N11" s="27">
        <v>11.79</v>
      </c>
      <c r="O11" s="28">
        <f>SQRT(M11*N11)</f>
        <v>8.999849998749978</v>
      </c>
      <c r="P11" s="28">
        <f>SQRT(L11*O11)/100</f>
        <v>1.2868459114322881</v>
      </c>
      <c r="Q11" s="27">
        <v>10942</v>
      </c>
      <c r="R11" s="27">
        <v>45.5</v>
      </c>
      <c r="S11" s="27">
        <v>46</v>
      </c>
      <c r="T11" s="28">
        <f>SQRT(R11*S11)</f>
        <v>45.749316934791494</v>
      </c>
      <c r="U11" s="28">
        <f>SQRT(Q11*T11)/100</f>
        <v>7.0752316280139453</v>
      </c>
      <c r="V11" s="28">
        <f>SQRT(Q11*T11/(L11*O11))/E11</f>
        <v>0.68726484316788317</v>
      </c>
      <c r="W11" s="26" t="s">
        <v>295</v>
      </c>
      <c r="X11" s="26" t="s">
        <v>295</v>
      </c>
    </row>
    <row r="12" spans="2:24" x14ac:dyDescent="0.25">
      <c r="B12" s="22" t="s">
        <v>291</v>
      </c>
      <c r="C12" s="22" t="s">
        <v>175</v>
      </c>
      <c r="D12" s="22"/>
      <c r="E12" s="20">
        <v>8</v>
      </c>
      <c r="F12" s="20">
        <v>16</v>
      </c>
      <c r="G12" s="20">
        <v>3</v>
      </c>
      <c r="H12" s="20">
        <v>4.8</v>
      </c>
      <c r="I12" s="20" t="s">
        <v>216</v>
      </c>
      <c r="J12" s="25">
        <v>35</v>
      </c>
      <c r="K12" s="20" t="s">
        <v>301</v>
      </c>
      <c r="L12" s="20">
        <v>1506</v>
      </c>
      <c r="M12" s="20"/>
      <c r="N12" s="20"/>
      <c r="O12" s="24">
        <v>8.3000000000000007</v>
      </c>
      <c r="P12" s="24">
        <f>SQRT(L12*O12)/100</f>
        <v>1.1180250444422075</v>
      </c>
      <c r="Q12" s="20">
        <v>8100</v>
      </c>
      <c r="R12" s="20"/>
      <c r="S12" s="20"/>
      <c r="T12" s="24">
        <v>34.6</v>
      </c>
      <c r="U12" s="24">
        <f>SQRT(Q12*T12)/100</f>
        <v>5.2939588211469868</v>
      </c>
      <c r="V12" s="24">
        <f>SQRT(Q12*T12/(L12*O12))/E12</f>
        <v>0.59188732482600492</v>
      </c>
      <c r="W12" s="22" t="s">
        <v>313</v>
      </c>
      <c r="X12" s="22" t="s">
        <v>313</v>
      </c>
    </row>
    <row r="13" spans="2:24" x14ac:dyDescent="0.25">
      <c r="B13" s="26" t="s">
        <v>204</v>
      </c>
      <c r="C13" s="26" t="s">
        <v>167</v>
      </c>
      <c r="D13" s="26"/>
      <c r="E13" s="27">
        <v>8</v>
      </c>
      <c r="F13" s="27">
        <v>16</v>
      </c>
      <c r="G13" s="27">
        <v>3.4</v>
      </c>
      <c r="H13" s="27">
        <v>4.9000000000000004</v>
      </c>
      <c r="I13" s="27" t="s">
        <v>216</v>
      </c>
      <c r="J13" s="38">
        <v>105</v>
      </c>
      <c r="K13" s="27" t="s">
        <v>197</v>
      </c>
      <c r="L13" s="27">
        <v>1670</v>
      </c>
      <c r="M13" s="27">
        <v>7.65</v>
      </c>
      <c r="N13" s="27">
        <v>12.19</v>
      </c>
      <c r="O13" s="28">
        <f>SQRT(M13*N13)</f>
        <v>9.6567851793441069</v>
      </c>
      <c r="P13" s="28">
        <f>SQRT(L13*O13)/100</f>
        <v>1.2699146132517989</v>
      </c>
      <c r="Q13" s="27">
        <v>16590</v>
      </c>
      <c r="R13" s="27">
        <v>64.400000000000006</v>
      </c>
      <c r="S13" s="27">
        <v>64.400000000000006</v>
      </c>
      <c r="T13" s="28">
        <f>SQRT(R13*S13)</f>
        <v>64.400000000000006</v>
      </c>
      <c r="U13" s="28">
        <f>SQRT(Q13*T13)/100</f>
        <v>10.336324298318043</v>
      </c>
      <c r="V13" s="28">
        <f>SQRT(Q13*T13/(L13*O13))/E13</f>
        <v>1.0174231588542004</v>
      </c>
      <c r="W13" s="26" t="s">
        <v>314</v>
      </c>
      <c r="X13" s="26" t="s">
        <v>314</v>
      </c>
    </row>
    <row r="14" spans="2:24" x14ac:dyDescent="0.25">
      <c r="B14" s="26" t="s">
        <v>292</v>
      </c>
      <c r="C14" s="26" t="s">
        <v>167</v>
      </c>
      <c r="D14" s="26"/>
      <c r="E14" s="27">
        <v>8</v>
      </c>
      <c r="F14" s="27">
        <v>16</v>
      </c>
      <c r="G14" s="27">
        <v>3.8</v>
      </c>
      <c r="H14" s="27">
        <v>4.5999999999999996</v>
      </c>
      <c r="I14" s="27" t="s">
        <v>196</v>
      </c>
      <c r="J14" s="38">
        <v>65</v>
      </c>
      <c r="K14" s="27" t="s">
        <v>300</v>
      </c>
      <c r="L14" s="27">
        <v>1500</v>
      </c>
      <c r="M14" s="27"/>
      <c r="N14" s="27"/>
      <c r="O14" s="28">
        <v>8.5</v>
      </c>
      <c r="P14" s="28">
        <f>SQRT(L14*O14)/100</f>
        <v>1.1291589790636214</v>
      </c>
      <c r="Q14" s="27">
        <v>9200</v>
      </c>
      <c r="R14" s="27"/>
      <c r="S14" s="27"/>
      <c r="T14" s="28">
        <v>43</v>
      </c>
      <c r="U14" s="28">
        <f>SQRT(Q14*T14)/100</f>
        <v>6.2896740774065556</v>
      </c>
      <c r="V14" s="28">
        <f>SQRT(Q14*T14/(L14*O14))/E14</f>
        <v>0.69627862351836389</v>
      </c>
      <c r="W14" s="26" t="s">
        <v>293</v>
      </c>
      <c r="X14" s="26" t="s">
        <v>293</v>
      </c>
    </row>
    <row r="15" spans="2:24" x14ac:dyDescent="0.25">
      <c r="B15" s="22" t="s">
        <v>305</v>
      </c>
      <c r="C15" s="22" t="s">
        <v>175</v>
      </c>
      <c r="D15" s="22"/>
      <c r="E15" s="20" t="s">
        <v>306</v>
      </c>
      <c r="F15" s="20">
        <v>20</v>
      </c>
      <c r="G15" s="37">
        <v>3</v>
      </c>
      <c r="H15" s="37">
        <v>5</v>
      </c>
      <c r="I15" s="20" t="s">
        <v>201</v>
      </c>
      <c r="J15" s="20" t="s">
        <v>307</v>
      </c>
      <c r="K15" s="20" t="s">
        <v>308</v>
      </c>
      <c r="L15" s="20">
        <v>1850</v>
      </c>
      <c r="M15" s="20"/>
      <c r="N15" s="20"/>
      <c r="O15" s="20"/>
      <c r="P15" s="20"/>
      <c r="Q15" s="20">
        <v>9640</v>
      </c>
      <c r="R15" s="20"/>
      <c r="S15" s="20"/>
      <c r="T15" s="20"/>
      <c r="U15" s="24"/>
      <c r="V15" s="24">
        <f>Q15/L15/14</f>
        <v>0.37220077220077219</v>
      </c>
      <c r="W15" s="22" t="s">
        <v>315</v>
      </c>
      <c r="X15" s="22" t="s">
        <v>315</v>
      </c>
    </row>
    <row r="16" spans="2:24" x14ac:dyDescent="0.25">
      <c r="B16" s="29" t="s">
        <v>312</v>
      </c>
      <c r="C16" s="29" t="s">
        <v>183</v>
      </c>
      <c r="D16" s="29"/>
      <c r="E16" s="30">
        <v>38</v>
      </c>
      <c r="F16" s="30">
        <v>76</v>
      </c>
      <c r="G16" s="30">
        <v>2.5</v>
      </c>
      <c r="H16" s="30">
        <v>4</v>
      </c>
      <c r="I16" s="30" t="s">
        <v>216</v>
      </c>
      <c r="J16" s="30">
        <v>270</v>
      </c>
      <c r="K16" s="57" t="s">
        <v>299</v>
      </c>
      <c r="L16" s="30">
        <v>1300</v>
      </c>
      <c r="M16" s="30"/>
      <c r="N16" s="30"/>
      <c r="O16" s="30"/>
      <c r="P16" s="30"/>
      <c r="Q16" s="30">
        <v>26500</v>
      </c>
      <c r="R16" s="30"/>
      <c r="S16" s="30"/>
      <c r="T16" s="30"/>
      <c r="U16" s="31"/>
      <c r="V16" s="31">
        <f>Q16/L16/14</f>
        <v>1.456043956043956</v>
      </c>
      <c r="W16" s="29" t="s">
        <v>316</v>
      </c>
      <c r="X16" s="29" t="s">
        <v>316</v>
      </c>
    </row>
    <row r="17" spans="2:24" x14ac:dyDescent="0.25">
      <c r="B17" s="29" t="s">
        <v>298</v>
      </c>
      <c r="C17" s="29" t="s">
        <v>183</v>
      </c>
      <c r="D17" s="29"/>
      <c r="E17" s="30">
        <v>64</v>
      </c>
      <c r="F17" s="30">
        <v>128</v>
      </c>
      <c r="G17" s="30">
        <v>2.7</v>
      </c>
      <c r="H17" s="30">
        <v>4.2</v>
      </c>
      <c r="I17" s="30" t="s">
        <v>216</v>
      </c>
      <c r="J17" s="30">
        <v>280</v>
      </c>
      <c r="K17" s="57" t="s">
        <v>299</v>
      </c>
      <c r="L17" s="30">
        <v>1232</v>
      </c>
      <c r="M17" s="30"/>
      <c r="N17" s="30"/>
      <c r="O17" s="30"/>
      <c r="P17" s="30"/>
      <c r="Q17" s="30">
        <v>30495</v>
      </c>
      <c r="R17" s="30">
        <v>370</v>
      </c>
      <c r="S17" s="30">
        <v>280</v>
      </c>
      <c r="T17" s="31">
        <f>SQRT(R17*S17)</f>
        <v>321.86953878862164</v>
      </c>
      <c r="U17" s="31">
        <f>SQRT(Q17*T17)/100</f>
        <v>31.329557266835128</v>
      </c>
      <c r="V17" s="31">
        <f>Q17/L17/E17</f>
        <v>0.38675679788961037</v>
      </c>
      <c r="W17" s="29" t="s">
        <v>317</v>
      </c>
      <c r="X17" s="29" t="s">
        <v>317</v>
      </c>
    </row>
    <row r="18" spans="2:24" x14ac:dyDescent="0.25">
      <c r="B18" s="46" t="s">
        <v>290</v>
      </c>
      <c r="C18" s="46" t="s">
        <v>167</v>
      </c>
      <c r="D18" s="46"/>
      <c r="E18" s="47" t="s">
        <v>309</v>
      </c>
      <c r="F18" s="47">
        <v>10</v>
      </c>
      <c r="G18" s="47">
        <v>3.2</v>
      </c>
      <c r="H18" s="47"/>
      <c r="I18" s="47" t="s">
        <v>310</v>
      </c>
      <c r="J18" s="48" t="s">
        <v>311</v>
      </c>
      <c r="K18" s="47" t="s">
        <v>299</v>
      </c>
      <c r="L18" s="47">
        <v>1760</v>
      </c>
      <c r="M18" s="47">
        <v>7.49</v>
      </c>
      <c r="N18" s="47">
        <v>12.83</v>
      </c>
      <c r="O18" s="49">
        <f>SQRT(M18*N18)</f>
        <v>9.8028924302983143</v>
      </c>
      <c r="P18" s="49">
        <f>SQRT(L18*O18)/100</f>
        <v>1.3135102084614731</v>
      </c>
      <c r="Q18" s="47">
        <v>12600</v>
      </c>
      <c r="R18" s="47">
        <v>53.4</v>
      </c>
      <c r="S18" s="47">
        <v>81.099999999999994</v>
      </c>
      <c r="T18" s="49">
        <f>SQRT(R18*S18)</f>
        <v>65.808358131775321</v>
      </c>
      <c r="U18" s="49">
        <f>SQRT(Q18*T18)/100</f>
        <v>9.1059613026872075</v>
      </c>
      <c r="V18" s="49">
        <f>SQRT(Q18*T18/(L18*O18))/10</f>
        <v>0.69325394230114923</v>
      </c>
      <c r="W18" s="46" t="s">
        <v>318</v>
      </c>
      <c r="X18" s="46" t="s">
        <v>318</v>
      </c>
    </row>
    <row r="19" spans="2:24" s="44" customFormat="1" ht="24" x14ac:dyDescent="0.25">
      <c r="B19" s="39" t="s">
        <v>320</v>
      </c>
      <c r="C19" s="39" t="s">
        <v>175</v>
      </c>
      <c r="D19" s="39" t="s">
        <v>319</v>
      </c>
      <c r="E19" s="40">
        <v>6</v>
      </c>
      <c r="F19" s="40">
        <v>6</v>
      </c>
      <c r="G19" s="40">
        <v>3.23</v>
      </c>
      <c r="H19" s="40"/>
      <c r="I19" s="40" t="s">
        <v>321</v>
      </c>
      <c r="J19" s="41"/>
      <c r="K19" s="40" t="s">
        <v>299</v>
      </c>
      <c r="L19" s="40">
        <v>1681</v>
      </c>
      <c r="M19" s="42" t="s">
        <v>323</v>
      </c>
      <c r="N19" s="42" t="s">
        <v>324</v>
      </c>
      <c r="O19" s="42" t="s">
        <v>326</v>
      </c>
      <c r="P19" s="45">
        <f>SQRT(8.6*L19)/100</f>
        <v>1.2023560204864447</v>
      </c>
      <c r="Q19" s="40">
        <v>4609</v>
      </c>
      <c r="R19" s="40"/>
      <c r="S19" s="40"/>
      <c r="T19" s="40"/>
      <c r="U19" s="43"/>
      <c r="V19" s="43">
        <f>AVERAGE(Q19:Q19)/AVERAGE(L19:L19)/E19</f>
        <v>0.45697005750545311</v>
      </c>
      <c r="W19" s="39" t="s">
        <v>246</v>
      </c>
      <c r="X19" s="39" t="s">
        <v>246</v>
      </c>
    </row>
    <row r="20" spans="2:24" x14ac:dyDescent="0.25">
      <c r="B20" s="29" t="s">
        <v>369</v>
      </c>
      <c r="C20" s="29" t="s">
        <v>183</v>
      </c>
      <c r="D20" s="29"/>
      <c r="E20" s="30">
        <v>40</v>
      </c>
      <c r="F20" s="30">
        <v>80</v>
      </c>
      <c r="G20" s="30">
        <v>2.2999999999999998</v>
      </c>
      <c r="H20" s="30">
        <v>3.4</v>
      </c>
      <c r="I20" s="30" t="s">
        <v>216</v>
      </c>
      <c r="J20" s="30">
        <v>270</v>
      </c>
      <c r="K20" s="30" t="s">
        <v>300</v>
      </c>
      <c r="L20" s="30">
        <v>750</v>
      </c>
      <c r="M20" s="30"/>
      <c r="N20" s="30"/>
      <c r="O20" s="30"/>
      <c r="P20" s="30"/>
      <c r="Q20" s="30">
        <v>17000</v>
      </c>
      <c r="R20" s="30"/>
      <c r="S20" s="30"/>
      <c r="T20" s="30"/>
      <c r="U20" s="31"/>
      <c r="V20" s="31"/>
      <c r="W20" s="29" t="s">
        <v>184</v>
      </c>
      <c r="X20" s="29" t="s">
        <v>184</v>
      </c>
    </row>
    <row r="21" spans="2:24" x14ac:dyDescent="0.25">
      <c r="B21" s="29" t="s">
        <v>222</v>
      </c>
      <c r="C21" s="29" t="s">
        <v>183</v>
      </c>
      <c r="D21" s="29"/>
      <c r="E21" s="30">
        <v>28</v>
      </c>
      <c r="F21" s="30">
        <v>56</v>
      </c>
      <c r="G21" s="30">
        <v>2.7</v>
      </c>
      <c r="H21" s="30">
        <v>4</v>
      </c>
      <c r="I21" s="30" t="s">
        <v>216</v>
      </c>
      <c r="J21" s="30">
        <v>205</v>
      </c>
      <c r="K21" s="30" t="s">
        <v>191</v>
      </c>
      <c r="L21" s="30">
        <v>1000</v>
      </c>
      <c r="M21" s="30">
        <v>4.7699999999999996</v>
      </c>
      <c r="N21" s="30">
        <v>5.85</v>
      </c>
      <c r="O21" s="31">
        <f>SQRT(M21*N21)</f>
        <v>5.2824710126985073</v>
      </c>
      <c r="P21" s="31">
        <f>SQRT(L21*O21)/100</f>
        <v>0.72680609605991253</v>
      </c>
      <c r="Q21" s="30">
        <v>17821</v>
      </c>
      <c r="R21" s="30">
        <v>106.17</v>
      </c>
      <c r="S21" s="30">
        <v>107.82</v>
      </c>
      <c r="T21" s="31">
        <f>SQRT(R21*S21)</f>
        <v>106.99181931344097</v>
      </c>
      <c r="U21" s="31"/>
      <c r="V21" s="31">
        <f>AVERAGE(Q21:S21)/AVERAGE(L21:O21)/E21</f>
        <v>0.8453656449550192</v>
      </c>
      <c r="W21" s="29"/>
      <c r="X21" s="29"/>
    </row>
    <row r="22" spans="2:24" x14ac:dyDescent="0.25">
      <c r="B22" s="26" t="s">
        <v>204</v>
      </c>
      <c r="C22" s="26" t="s">
        <v>167</v>
      </c>
      <c r="D22" s="26"/>
      <c r="E22" s="27">
        <v>16</v>
      </c>
      <c r="F22" s="27">
        <v>32</v>
      </c>
      <c r="G22" s="27">
        <v>3.4</v>
      </c>
      <c r="H22" s="27">
        <v>4.9000000000000004</v>
      </c>
      <c r="I22" s="27" t="s">
        <v>216</v>
      </c>
      <c r="J22" s="27">
        <v>105</v>
      </c>
      <c r="K22" s="27" t="s">
        <v>197</v>
      </c>
      <c r="L22" s="27">
        <v>1672</v>
      </c>
      <c r="M22" s="27">
        <v>7.29</v>
      </c>
      <c r="N22" s="27">
        <v>9.65</v>
      </c>
      <c r="O22" s="28">
        <f>SQRT(M22*N22)</f>
        <v>8.3874012661848969</v>
      </c>
      <c r="P22" s="28">
        <f>SQRT(L22*O22)/100</f>
        <v>1.1842185151846405</v>
      </c>
      <c r="Q22" s="27">
        <v>16518</v>
      </c>
      <c r="R22" s="27">
        <v>77.3</v>
      </c>
      <c r="S22" s="27">
        <v>80.709999999999994</v>
      </c>
      <c r="T22" s="28">
        <f>SQRT(R22*S22)</f>
        <v>78.986600129389032</v>
      </c>
      <c r="U22" s="28">
        <f>SQRT(Q22*T22)/100</f>
        <v>11.422349412171069</v>
      </c>
      <c r="V22" s="28">
        <f>SQRT(Q22*T22/(L22*O22))</f>
        <v>9.6454744337366876</v>
      </c>
      <c r="W22" s="26" t="s">
        <v>271</v>
      </c>
      <c r="X22" s="26" t="s">
        <v>226</v>
      </c>
    </row>
    <row r="23" spans="2:24" x14ac:dyDescent="0.25">
      <c r="B23" s="26" t="s">
        <v>281</v>
      </c>
      <c r="C23" s="26" t="s">
        <v>167</v>
      </c>
      <c r="D23" s="26"/>
      <c r="E23" s="27">
        <v>18</v>
      </c>
      <c r="F23" s="27">
        <v>36</v>
      </c>
      <c r="G23" s="36">
        <v>3</v>
      </c>
      <c r="H23" s="27">
        <v>4.8</v>
      </c>
      <c r="I23" s="27" t="s">
        <v>216</v>
      </c>
      <c r="J23" s="27">
        <v>165</v>
      </c>
      <c r="K23" s="27" t="s">
        <v>282</v>
      </c>
      <c r="L23" s="27">
        <v>1162</v>
      </c>
      <c r="M23" s="27"/>
      <c r="N23" s="27"/>
      <c r="O23" s="27"/>
      <c r="P23" s="27"/>
      <c r="Q23" s="27">
        <v>15432</v>
      </c>
      <c r="R23" s="27"/>
      <c r="S23" s="27"/>
      <c r="T23" s="27"/>
      <c r="U23" s="28"/>
      <c r="V23" s="28">
        <f t="shared" ref="V23:V46" si="0">AVERAGE(Q23:S23)/AVERAGE(L23:O23)/E23</f>
        <v>0.73780837636259322</v>
      </c>
      <c r="W23" s="26"/>
      <c r="X23" s="26"/>
    </row>
    <row r="24" spans="2:24" x14ac:dyDescent="0.25">
      <c r="B24" s="29" t="s">
        <v>186</v>
      </c>
      <c r="C24" s="29" t="s">
        <v>183</v>
      </c>
      <c r="D24" s="29"/>
      <c r="E24" s="30">
        <v>10</v>
      </c>
      <c r="F24" s="30">
        <v>20</v>
      </c>
      <c r="G24" s="30">
        <v>3.7</v>
      </c>
      <c r="H24" s="30">
        <v>5.3</v>
      </c>
      <c r="I24" s="30" t="s">
        <v>185</v>
      </c>
      <c r="J24" s="30">
        <v>125</v>
      </c>
      <c r="K24" s="30" t="s">
        <v>180</v>
      </c>
      <c r="L24" s="30">
        <v>1405</v>
      </c>
      <c r="M24" s="30">
        <v>5.84</v>
      </c>
      <c r="N24" s="30">
        <v>7.89</v>
      </c>
      <c r="O24" s="31">
        <f>SQRT(M24*N24)</f>
        <v>6.7880483203937194</v>
      </c>
      <c r="P24" s="31">
        <f>SQRT(L24*O24)/100</f>
        <v>0.97658629368597916</v>
      </c>
      <c r="Q24" s="30">
        <v>10968</v>
      </c>
      <c r="R24" s="30">
        <v>43.3</v>
      </c>
      <c r="S24" s="30">
        <v>43.98</v>
      </c>
      <c r="T24" s="31">
        <f>SQRT(R24*S24)</f>
        <v>43.63867550693994</v>
      </c>
      <c r="U24" s="31">
        <f>SQRT(Q24*T24)/100</f>
        <v>6.9183017638732496</v>
      </c>
      <c r="V24" s="31">
        <f t="shared" si="0"/>
        <v>1.0340362474330695</v>
      </c>
      <c r="W24" s="29" t="s">
        <v>223</v>
      </c>
      <c r="X24" s="29" t="s">
        <v>223</v>
      </c>
    </row>
    <row r="25" spans="2:24" x14ac:dyDescent="0.25">
      <c r="B25" s="26" t="s">
        <v>172</v>
      </c>
      <c r="C25" s="26" t="s">
        <v>167</v>
      </c>
      <c r="D25" s="26"/>
      <c r="E25" s="27">
        <v>10</v>
      </c>
      <c r="F25" s="27">
        <v>20</v>
      </c>
      <c r="G25" s="27">
        <v>3.7</v>
      </c>
      <c r="H25" s="27">
        <v>5.3</v>
      </c>
      <c r="I25" s="27" t="s">
        <v>171</v>
      </c>
      <c r="J25" s="27">
        <v>125</v>
      </c>
      <c r="K25" s="27" t="s">
        <v>180</v>
      </c>
      <c r="L25" s="27">
        <v>1405</v>
      </c>
      <c r="M25" s="27">
        <v>6.14</v>
      </c>
      <c r="N25" s="27">
        <v>8.1999999999999993</v>
      </c>
      <c r="O25" s="28">
        <f>SQRT(M25*N25)</f>
        <v>7.0956324594781535</v>
      </c>
      <c r="P25" s="28">
        <f>SQRT(L25*O25)/100</f>
        <v>0.99846700524187593</v>
      </c>
      <c r="Q25" s="27">
        <v>10968</v>
      </c>
      <c r="R25" s="27">
        <v>47.35</v>
      </c>
      <c r="S25" s="27">
        <v>48.59</v>
      </c>
      <c r="T25" s="28">
        <f>SQRT(R25*S25)</f>
        <v>47.965993161822475</v>
      </c>
      <c r="U25" s="28">
        <f>SQRT(Q25*T25)/100</f>
        <v>7.2532131707186771</v>
      </c>
      <c r="V25" s="28">
        <f t="shared" si="0"/>
        <v>1.034180559172134</v>
      </c>
      <c r="W25" s="26" t="s">
        <v>272</v>
      </c>
      <c r="X25" s="26" t="s">
        <v>225</v>
      </c>
    </row>
    <row r="26" spans="2:24" x14ac:dyDescent="0.25">
      <c r="B26" s="26" t="s">
        <v>168</v>
      </c>
      <c r="C26" s="26" t="s">
        <v>167</v>
      </c>
      <c r="D26" s="26"/>
      <c r="E26" s="27">
        <v>10</v>
      </c>
      <c r="F26" s="27">
        <v>20</v>
      </c>
      <c r="G26" s="27">
        <v>3.6</v>
      </c>
      <c r="H26" s="27">
        <v>5</v>
      </c>
      <c r="I26" s="27" t="s">
        <v>171</v>
      </c>
      <c r="J26" s="27">
        <v>125</v>
      </c>
      <c r="K26" s="27" t="s">
        <v>179</v>
      </c>
      <c r="L26" s="27">
        <v>1337</v>
      </c>
      <c r="M26" s="27"/>
      <c r="N26" s="27"/>
      <c r="O26" s="27"/>
      <c r="P26" s="27"/>
      <c r="Q26" s="27">
        <v>9630</v>
      </c>
      <c r="R26" s="27"/>
      <c r="S26" s="27"/>
      <c r="T26" s="27"/>
      <c r="U26" s="28"/>
      <c r="V26" s="28">
        <f t="shared" si="0"/>
        <v>0.7202692595362753</v>
      </c>
      <c r="W26" s="26"/>
      <c r="X26" s="26"/>
    </row>
    <row r="27" spans="2:24" x14ac:dyDescent="0.25">
      <c r="B27" s="26" t="s">
        <v>187</v>
      </c>
      <c r="C27" s="26" t="s">
        <v>167</v>
      </c>
      <c r="D27" s="26"/>
      <c r="E27" s="27">
        <v>8</v>
      </c>
      <c r="F27" s="27">
        <v>16</v>
      </c>
      <c r="G27" s="27">
        <v>3.1</v>
      </c>
      <c r="H27" s="27">
        <v>5</v>
      </c>
      <c r="I27" s="27" t="s">
        <v>171</v>
      </c>
      <c r="J27" s="27">
        <v>65</v>
      </c>
      <c r="K27" s="27" t="s">
        <v>191</v>
      </c>
      <c r="L27" s="27">
        <v>1296</v>
      </c>
      <c r="M27" s="27"/>
      <c r="N27" s="27"/>
      <c r="O27" s="27"/>
      <c r="P27" s="27"/>
      <c r="Q27" s="27">
        <v>8091</v>
      </c>
      <c r="R27" s="27">
        <v>38</v>
      </c>
      <c r="S27" s="27">
        <v>38</v>
      </c>
      <c r="T27" s="28">
        <f>SQRT(R27*S27)</f>
        <v>38</v>
      </c>
      <c r="U27" s="28">
        <f>SQRT(Q27*T27)/100</f>
        <v>5.5448895390260029</v>
      </c>
      <c r="V27" s="28">
        <f>AVERAGE(Q27:Q27)/AVERAGE(L27:L27)/E27</f>
        <v>0.78038194444444442</v>
      </c>
      <c r="W27" s="26"/>
      <c r="X27" s="26" t="s">
        <v>333</v>
      </c>
    </row>
    <row r="28" spans="2:24" x14ac:dyDescent="0.25">
      <c r="B28" s="22" t="s">
        <v>199</v>
      </c>
      <c r="C28" s="22" t="s">
        <v>175</v>
      </c>
      <c r="D28" s="22" t="s">
        <v>334</v>
      </c>
      <c r="E28" s="20">
        <v>4</v>
      </c>
      <c r="F28" s="20">
        <v>8</v>
      </c>
      <c r="G28" s="37">
        <v>3</v>
      </c>
      <c r="H28" s="37">
        <v>4.8</v>
      </c>
      <c r="I28" s="20" t="s">
        <v>201</v>
      </c>
      <c r="J28" s="20">
        <v>28</v>
      </c>
      <c r="K28" s="20" t="s">
        <v>179</v>
      </c>
      <c r="L28" s="20">
        <v>1500</v>
      </c>
      <c r="M28" s="20">
        <v>6.42</v>
      </c>
      <c r="N28" s="20">
        <v>10.75</v>
      </c>
      <c r="O28" s="24">
        <v>8.3000000000000007</v>
      </c>
      <c r="P28" s="24">
        <f>SQRT(L28*O28)/100</f>
        <v>1.11579568022107</v>
      </c>
      <c r="Q28" s="20">
        <v>5000</v>
      </c>
      <c r="R28" s="20">
        <v>21.89</v>
      </c>
      <c r="S28" s="20">
        <v>30.84</v>
      </c>
      <c r="T28" s="24">
        <v>34.6</v>
      </c>
      <c r="U28" s="24">
        <f>SQRT(Q28*T28)/100</f>
        <v>4.1593268686170841</v>
      </c>
      <c r="V28" s="24">
        <f>SQRT(Q28*T28/(L28*O28))/E28</f>
        <v>0.9319194683996731</v>
      </c>
      <c r="W28" s="22" t="s">
        <v>335</v>
      </c>
      <c r="X28" s="22" t="s">
        <v>335</v>
      </c>
    </row>
    <row r="29" spans="2:24" x14ac:dyDescent="0.25">
      <c r="B29" s="32" t="s">
        <v>195</v>
      </c>
      <c r="C29" s="32" t="s">
        <v>175</v>
      </c>
      <c r="D29" s="32" t="s">
        <v>261</v>
      </c>
      <c r="E29" s="33" t="s">
        <v>367</v>
      </c>
      <c r="F29" s="33">
        <v>8</v>
      </c>
      <c r="G29" s="33">
        <v>3.2</v>
      </c>
      <c r="H29" s="33"/>
      <c r="I29" s="33" t="s">
        <v>196</v>
      </c>
      <c r="J29" s="34" t="s">
        <v>203</v>
      </c>
      <c r="K29" s="33" t="s">
        <v>197</v>
      </c>
      <c r="L29" s="33">
        <v>1700</v>
      </c>
      <c r="M29" s="33">
        <v>6.66</v>
      </c>
      <c r="N29" s="33">
        <v>10.37</v>
      </c>
      <c r="O29" s="35">
        <f>SQRT(M29*N29)</f>
        <v>8.3104873503303036</v>
      </c>
      <c r="P29" s="35">
        <f>SQRT(L29*O29)/100</f>
        <v>1.1886054221465387</v>
      </c>
      <c r="Q29" s="33">
        <v>7500</v>
      </c>
      <c r="R29" s="33">
        <v>28.85</v>
      </c>
      <c r="S29" s="33">
        <v>38.71</v>
      </c>
      <c r="T29" s="35">
        <f>SQRT(R29*S29)</f>
        <v>33.418310848994146</v>
      </c>
      <c r="U29" s="35">
        <f>SQRT(Q29*T29)/100</f>
        <v>5.0063692569311753</v>
      </c>
      <c r="V29" s="35" t="e">
        <f t="shared" si="0"/>
        <v>#VALUE!</v>
      </c>
      <c r="W29" s="32" t="s">
        <v>198</v>
      </c>
      <c r="X29" s="32" t="s">
        <v>198</v>
      </c>
    </row>
    <row r="30" spans="2:24" x14ac:dyDescent="0.25">
      <c r="B30" s="22" t="s">
        <v>181</v>
      </c>
      <c r="C30" s="22" t="s">
        <v>175</v>
      </c>
      <c r="D30" s="22"/>
      <c r="E30" s="20">
        <v>8</v>
      </c>
      <c r="F30" s="20">
        <v>16</v>
      </c>
      <c r="G30" s="20">
        <v>2.4</v>
      </c>
      <c r="H30" s="20">
        <v>5.3</v>
      </c>
      <c r="I30" s="20" t="s">
        <v>171</v>
      </c>
      <c r="J30" s="20" t="s">
        <v>182</v>
      </c>
      <c r="K30" s="20" t="s">
        <v>178</v>
      </c>
      <c r="L30" s="20">
        <v>1300</v>
      </c>
      <c r="M30" s="20"/>
      <c r="N30" s="20"/>
      <c r="O30" s="20"/>
      <c r="P30" s="20"/>
      <c r="Q30" s="20">
        <v>7500</v>
      </c>
      <c r="R30" s="20"/>
      <c r="S30" s="20"/>
      <c r="T30" s="20"/>
      <c r="U30" s="24"/>
      <c r="V30" s="24">
        <f t="shared" si="0"/>
        <v>0.72115384615384615</v>
      </c>
      <c r="W30" s="22"/>
      <c r="X30" s="22"/>
    </row>
    <row r="31" spans="2:24" x14ac:dyDescent="0.25">
      <c r="B31" s="22" t="s">
        <v>205</v>
      </c>
      <c r="C31" s="22" t="s">
        <v>175</v>
      </c>
      <c r="D31" s="22"/>
      <c r="E31" s="20">
        <v>8</v>
      </c>
      <c r="F31" s="20">
        <v>16</v>
      </c>
      <c r="G31" s="20">
        <v>3.3</v>
      </c>
      <c r="H31" s="20">
        <v>4.4000000000000004</v>
      </c>
      <c r="I31" s="20" t="s">
        <v>216</v>
      </c>
      <c r="J31" s="25" t="s">
        <v>206</v>
      </c>
      <c r="K31" s="20" t="s">
        <v>180</v>
      </c>
      <c r="L31" s="20">
        <v>1093</v>
      </c>
      <c r="M31" s="20">
        <v>4.75</v>
      </c>
      <c r="N31" s="20">
        <v>6.56</v>
      </c>
      <c r="O31" s="24">
        <f>SQRT(M31*N31)</f>
        <v>5.5821142947811451</v>
      </c>
      <c r="P31" s="24">
        <f>SQRT(L31*O31)/100</f>
        <v>0.78110504570101147</v>
      </c>
      <c r="Q31" s="20">
        <v>7042</v>
      </c>
      <c r="R31" s="20">
        <v>31.62</v>
      </c>
      <c r="S31" s="20">
        <v>33.15</v>
      </c>
      <c r="T31" s="24">
        <f>SQRT(R31*S31)</f>
        <v>32.375963306131915</v>
      </c>
      <c r="U31" s="24">
        <f>SQRT(Q31*T31)/100</f>
        <v>4.7748458991027238</v>
      </c>
      <c r="V31" s="24">
        <f t="shared" si="0"/>
        <v>1.067186307039641</v>
      </c>
      <c r="W31" s="22" t="s">
        <v>227</v>
      </c>
      <c r="X31" s="22" t="s">
        <v>227</v>
      </c>
    </row>
    <row r="32" spans="2:24" x14ac:dyDescent="0.25">
      <c r="B32" s="26" t="s">
        <v>212</v>
      </c>
      <c r="C32" s="26" t="s">
        <v>167</v>
      </c>
      <c r="D32" s="26" t="s">
        <v>263</v>
      </c>
      <c r="E32" s="27">
        <v>6</v>
      </c>
      <c r="F32" s="27">
        <v>12</v>
      </c>
      <c r="G32" s="27">
        <v>3.2</v>
      </c>
      <c r="H32" s="27">
        <v>4.5999999999999996</v>
      </c>
      <c r="I32" s="27" t="s">
        <v>171</v>
      </c>
      <c r="J32" s="27">
        <v>65</v>
      </c>
      <c r="K32" s="27" t="s">
        <v>214</v>
      </c>
      <c r="L32" s="27">
        <v>1160</v>
      </c>
      <c r="M32" s="27"/>
      <c r="N32" s="27"/>
      <c r="O32" s="27"/>
      <c r="P32" s="27"/>
      <c r="Q32" s="27">
        <v>5841</v>
      </c>
      <c r="R32" s="27"/>
      <c r="S32" s="27"/>
      <c r="T32" s="27"/>
      <c r="U32" s="28"/>
      <c r="V32" s="28">
        <f t="shared" si="0"/>
        <v>0.83922413793103445</v>
      </c>
      <c r="W32" s="26"/>
      <c r="X32" s="26" t="s">
        <v>213</v>
      </c>
    </row>
    <row r="33" spans="2:24" x14ac:dyDescent="0.25">
      <c r="B33" s="22" t="s">
        <v>207</v>
      </c>
      <c r="C33" s="22" t="s">
        <v>175</v>
      </c>
      <c r="D33" s="22"/>
      <c r="E33" s="20">
        <v>8</v>
      </c>
      <c r="F33" s="20">
        <v>16</v>
      </c>
      <c r="G33" s="20">
        <v>1.8</v>
      </c>
      <c r="H33" s="20">
        <v>4.2</v>
      </c>
      <c r="I33" s="20" t="s">
        <v>216</v>
      </c>
      <c r="J33" s="25" t="s">
        <v>208</v>
      </c>
      <c r="K33" s="20" t="s">
        <v>180</v>
      </c>
      <c r="L33" s="20">
        <v>1023</v>
      </c>
      <c r="M33" s="20">
        <v>4.29</v>
      </c>
      <c r="N33" s="20">
        <v>6.28</v>
      </c>
      <c r="O33" s="24">
        <f>SQRT(M33*N33)</f>
        <v>5.19049130622526</v>
      </c>
      <c r="P33" s="24">
        <f>SQRT(L33*O33)/100</f>
        <v>0.72868872684215735</v>
      </c>
      <c r="Q33" s="20">
        <v>5836</v>
      </c>
      <c r="R33" s="20">
        <v>25.14</v>
      </c>
      <c r="S33" s="20">
        <v>28.25</v>
      </c>
      <c r="T33" s="24">
        <f>SQRT(R33*S33)</f>
        <v>26.64967166777107</v>
      </c>
      <c r="U33" s="24">
        <f>SQRT(Q33*T33)/100</f>
        <v>3.9436972988949339</v>
      </c>
      <c r="V33" s="24">
        <f t="shared" si="0"/>
        <v>0.94493871129589957</v>
      </c>
      <c r="W33" s="22"/>
      <c r="X33" s="22"/>
    </row>
    <row r="34" spans="2:24" x14ac:dyDescent="0.25">
      <c r="B34" s="22" t="s">
        <v>199</v>
      </c>
      <c r="C34" s="22" t="s">
        <v>175</v>
      </c>
      <c r="D34" s="22"/>
      <c r="E34" s="20">
        <v>4</v>
      </c>
      <c r="F34" s="20">
        <v>8</v>
      </c>
      <c r="G34" s="20" t="s">
        <v>200</v>
      </c>
      <c r="H34" s="20">
        <v>4.8</v>
      </c>
      <c r="I34" s="20" t="s">
        <v>201</v>
      </c>
      <c r="J34" s="23" t="s">
        <v>202</v>
      </c>
      <c r="K34" s="20" t="s">
        <v>179</v>
      </c>
      <c r="L34" s="20">
        <v>1500</v>
      </c>
      <c r="M34" s="20">
        <v>6.17</v>
      </c>
      <c r="N34" s="20">
        <v>8.6</v>
      </c>
      <c r="O34" s="24">
        <f>SQRT(M34*N34)</f>
        <v>7.2843668221747313</v>
      </c>
      <c r="P34" s="24">
        <f>SQRT(L34*O34)/100</f>
        <v>1.0453014031016172</v>
      </c>
      <c r="Q34" s="20">
        <v>5000</v>
      </c>
      <c r="R34" s="20">
        <v>21.52</v>
      </c>
      <c r="S34" s="20">
        <v>25.87</v>
      </c>
      <c r="T34" s="24">
        <f>SQRT(R34*S34)</f>
        <v>23.594965564713164</v>
      </c>
      <c r="U34" s="24">
        <f>SQRT(Q34*T34)/100</f>
        <v>3.4347463927277926</v>
      </c>
      <c r="V34" s="24">
        <f t="shared" si="0"/>
        <v>1.1053897745098744</v>
      </c>
      <c r="W34" s="22" t="s">
        <v>224</v>
      </c>
      <c r="X34" s="22" t="s">
        <v>224</v>
      </c>
    </row>
    <row r="35" spans="2:24" x14ac:dyDescent="0.25">
      <c r="B35" s="22" t="s">
        <v>174</v>
      </c>
      <c r="C35" s="22" t="s">
        <v>175</v>
      </c>
      <c r="D35" s="22"/>
      <c r="E35" s="20">
        <v>4</v>
      </c>
      <c r="F35" s="20">
        <v>8</v>
      </c>
      <c r="G35" s="20">
        <v>1.3</v>
      </c>
      <c r="H35" s="20">
        <v>3.9</v>
      </c>
      <c r="I35" s="20" t="s">
        <v>176</v>
      </c>
      <c r="J35" s="20">
        <v>15</v>
      </c>
      <c r="K35" s="20" t="s">
        <v>178</v>
      </c>
      <c r="L35" s="20">
        <v>1225</v>
      </c>
      <c r="M35" s="20"/>
      <c r="N35" s="20"/>
      <c r="O35" s="20"/>
      <c r="P35" s="20"/>
      <c r="Q35" s="20">
        <v>4600</v>
      </c>
      <c r="R35" s="20"/>
      <c r="S35" s="20"/>
      <c r="T35" s="20"/>
      <c r="U35" s="24"/>
      <c r="V35" s="24">
        <f t="shared" si="0"/>
        <v>0.93877551020408168</v>
      </c>
      <c r="W35" s="22"/>
      <c r="X35" s="22"/>
    </row>
    <row r="36" spans="2:24" s="44" customFormat="1" ht="24" x14ac:dyDescent="0.25">
      <c r="B36" s="39" t="s">
        <v>255</v>
      </c>
      <c r="C36" s="39" t="s">
        <v>175</v>
      </c>
      <c r="D36" s="39" t="s">
        <v>269</v>
      </c>
      <c r="E36" s="40">
        <v>6</v>
      </c>
      <c r="F36" s="40">
        <v>6</v>
      </c>
      <c r="G36" s="40">
        <v>2.99</v>
      </c>
      <c r="H36" s="40"/>
      <c r="I36" s="40" t="s">
        <v>256</v>
      </c>
      <c r="J36" s="41"/>
      <c r="K36" s="40" t="s">
        <v>197</v>
      </c>
      <c r="L36" s="40">
        <v>1590</v>
      </c>
      <c r="M36" s="42" t="s">
        <v>322</v>
      </c>
      <c r="N36" s="42" t="s">
        <v>325</v>
      </c>
      <c r="O36" s="42" t="s">
        <v>327</v>
      </c>
      <c r="P36" s="45">
        <f>SQRT(7.61*1590)/100</f>
        <v>1.0999954545360631</v>
      </c>
      <c r="Q36" s="40">
        <v>4100</v>
      </c>
      <c r="R36" s="40"/>
      <c r="S36" s="40"/>
      <c r="T36" s="40"/>
      <c r="U36" s="43"/>
      <c r="V36" s="43">
        <f t="shared" si="0"/>
        <v>0.42976939203354297</v>
      </c>
      <c r="W36" s="39" t="s">
        <v>246</v>
      </c>
      <c r="X36" s="39" t="s">
        <v>246</v>
      </c>
    </row>
    <row r="37" spans="2:24" x14ac:dyDescent="0.25">
      <c r="B37" s="22" t="s">
        <v>244</v>
      </c>
      <c r="C37" s="22" t="s">
        <v>175</v>
      </c>
      <c r="D37" s="22" t="s">
        <v>265</v>
      </c>
      <c r="E37" s="20">
        <v>6</v>
      </c>
      <c r="F37" s="20">
        <v>6</v>
      </c>
      <c r="G37" s="20">
        <v>2.39</v>
      </c>
      <c r="H37" s="20"/>
      <c r="I37" s="20" t="s">
        <v>257</v>
      </c>
      <c r="J37" s="23"/>
      <c r="K37" s="20" t="s">
        <v>214</v>
      </c>
      <c r="L37" s="20">
        <v>919</v>
      </c>
      <c r="M37" s="20"/>
      <c r="N37" s="20"/>
      <c r="O37" s="20"/>
      <c r="P37" s="20"/>
      <c r="Q37" s="20">
        <v>2373</v>
      </c>
      <c r="R37" s="20"/>
      <c r="S37" s="20"/>
      <c r="T37" s="20"/>
      <c r="U37" s="24"/>
      <c r="V37" s="24">
        <f t="shared" si="0"/>
        <v>0.43035908596300326</v>
      </c>
      <c r="W37" s="22" t="s">
        <v>246</v>
      </c>
      <c r="X37" s="22" t="s">
        <v>246</v>
      </c>
    </row>
    <row r="38" spans="2:24" x14ac:dyDescent="0.25">
      <c r="B38" s="22" t="s">
        <v>244</v>
      </c>
      <c r="C38" s="22" t="s">
        <v>175</v>
      </c>
      <c r="D38" s="22" t="s">
        <v>267</v>
      </c>
      <c r="E38" s="20">
        <v>6</v>
      </c>
      <c r="F38" s="20">
        <v>6</v>
      </c>
      <c r="G38" s="20">
        <v>2.39</v>
      </c>
      <c r="H38" s="20"/>
      <c r="I38" s="20" t="s">
        <v>245</v>
      </c>
      <c r="J38" s="23"/>
      <c r="K38" s="20" t="s">
        <v>251</v>
      </c>
      <c r="L38" s="20">
        <v>920</v>
      </c>
      <c r="M38" s="20"/>
      <c r="N38" s="20"/>
      <c r="O38" s="20"/>
      <c r="P38" s="20"/>
      <c r="Q38" s="20">
        <v>2200</v>
      </c>
      <c r="R38" s="20"/>
      <c r="S38" s="20"/>
      <c r="T38" s="20"/>
      <c r="U38" s="24"/>
      <c r="V38" s="24">
        <f t="shared" si="0"/>
        <v>0.39855072463768115</v>
      </c>
      <c r="W38" s="22" t="s">
        <v>246</v>
      </c>
      <c r="X38" s="22" t="s">
        <v>246</v>
      </c>
    </row>
    <row r="39" spans="2:24" x14ac:dyDescent="0.25">
      <c r="B39" s="22" t="s">
        <v>209</v>
      </c>
      <c r="C39" s="22" t="s">
        <v>175</v>
      </c>
      <c r="D39" s="22" t="s">
        <v>262</v>
      </c>
      <c r="E39" s="20">
        <v>2</v>
      </c>
      <c r="F39" s="20">
        <v>4</v>
      </c>
      <c r="G39" s="20">
        <v>3</v>
      </c>
      <c r="H39" s="20">
        <v>3.7</v>
      </c>
      <c r="I39" s="20" t="s">
        <v>211</v>
      </c>
      <c r="J39" s="20">
        <v>37</v>
      </c>
      <c r="K39" s="20" t="s">
        <v>210</v>
      </c>
      <c r="L39" s="20">
        <v>758</v>
      </c>
      <c r="M39" s="20"/>
      <c r="N39" s="20"/>
      <c r="O39" s="20"/>
      <c r="P39" s="20"/>
      <c r="Q39" s="20">
        <v>1614</v>
      </c>
      <c r="R39" s="20"/>
      <c r="S39" s="20"/>
      <c r="T39" s="20"/>
      <c r="U39" s="24"/>
      <c r="V39" s="24">
        <f t="shared" si="0"/>
        <v>1.0646437994722955</v>
      </c>
      <c r="W39" s="22"/>
      <c r="X39" s="22" t="s">
        <v>215</v>
      </c>
    </row>
    <row r="40" spans="2:24" x14ac:dyDescent="0.25">
      <c r="B40" s="22" t="s">
        <v>189</v>
      </c>
      <c r="C40" s="22" t="s">
        <v>175</v>
      </c>
      <c r="D40" s="22" t="s">
        <v>258</v>
      </c>
      <c r="E40" s="20">
        <v>2</v>
      </c>
      <c r="F40" s="20">
        <v>4</v>
      </c>
      <c r="G40" s="20">
        <v>2.4</v>
      </c>
      <c r="H40" s="20">
        <v>3</v>
      </c>
      <c r="I40" s="20" t="s">
        <v>194</v>
      </c>
      <c r="J40" s="20">
        <v>15</v>
      </c>
      <c r="K40" s="20" t="s">
        <v>193</v>
      </c>
      <c r="L40" s="20">
        <v>645</v>
      </c>
      <c r="M40" s="20"/>
      <c r="N40" s="20"/>
      <c r="O40" s="20"/>
      <c r="P40" s="20"/>
      <c r="Q40" s="20">
        <v>1419</v>
      </c>
      <c r="R40" s="20"/>
      <c r="S40" s="20"/>
      <c r="T40" s="20"/>
      <c r="U40" s="24"/>
      <c r="V40" s="24">
        <f t="shared" si="0"/>
        <v>1.1000000000000001</v>
      </c>
      <c r="W40" s="22"/>
      <c r="X40" s="22" t="s">
        <v>273</v>
      </c>
    </row>
    <row r="41" spans="2:24" x14ac:dyDescent="0.25">
      <c r="B41" s="22" t="s">
        <v>247</v>
      </c>
      <c r="C41" s="22" t="s">
        <v>175</v>
      </c>
      <c r="D41" s="22" t="s">
        <v>266</v>
      </c>
      <c r="E41" s="20">
        <v>4</v>
      </c>
      <c r="F41" s="20">
        <v>4</v>
      </c>
      <c r="G41" s="20">
        <v>2.34</v>
      </c>
      <c r="H41" s="20"/>
      <c r="I41" s="20" t="s">
        <v>254</v>
      </c>
      <c r="J41" s="23"/>
      <c r="K41" s="20" t="s">
        <v>250</v>
      </c>
      <c r="L41" s="20">
        <v>770</v>
      </c>
      <c r="M41" s="20"/>
      <c r="N41" s="20"/>
      <c r="O41" s="20"/>
      <c r="P41" s="20"/>
      <c r="Q41" s="20">
        <v>1400</v>
      </c>
      <c r="R41" s="20"/>
      <c r="S41" s="20"/>
      <c r="T41" s="20"/>
      <c r="U41" s="24"/>
      <c r="V41" s="24">
        <f t="shared" si="0"/>
        <v>0.45454545454545453</v>
      </c>
      <c r="W41" s="22" t="s">
        <v>248</v>
      </c>
      <c r="X41" s="22" t="s">
        <v>248</v>
      </c>
    </row>
    <row r="42" spans="2:24" x14ac:dyDescent="0.25">
      <c r="B42" s="26" t="s">
        <v>188</v>
      </c>
      <c r="C42" s="26" t="s">
        <v>167</v>
      </c>
      <c r="D42" s="26"/>
      <c r="E42" s="27">
        <v>2</v>
      </c>
      <c r="F42" s="27">
        <v>4</v>
      </c>
      <c r="G42" s="27">
        <v>3.46</v>
      </c>
      <c r="H42" s="27">
        <v>3.73</v>
      </c>
      <c r="I42" s="27" t="s">
        <v>190</v>
      </c>
      <c r="J42" s="27">
        <v>73</v>
      </c>
      <c r="K42" s="27" t="s">
        <v>192</v>
      </c>
      <c r="L42" s="27">
        <v>500</v>
      </c>
      <c r="M42" s="27"/>
      <c r="N42" s="27"/>
      <c r="O42" s="27"/>
      <c r="P42" s="27"/>
      <c r="Q42" s="27">
        <v>1150</v>
      </c>
      <c r="R42" s="27"/>
      <c r="S42" s="27"/>
      <c r="T42" s="27"/>
      <c r="U42" s="28"/>
      <c r="V42" s="28">
        <f t="shared" si="0"/>
        <v>1.1499999999999999</v>
      </c>
      <c r="W42" s="26"/>
      <c r="X42" s="26" t="s">
        <v>280</v>
      </c>
    </row>
    <row r="43" spans="2:24" x14ac:dyDescent="0.25">
      <c r="B43" s="22" t="s">
        <v>252</v>
      </c>
      <c r="C43" s="22" t="s">
        <v>175</v>
      </c>
      <c r="D43" s="22" t="s">
        <v>268</v>
      </c>
      <c r="E43" s="20">
        <v>2</v>
      </c>
      <c r="F43" s="20">
        <v>2</v>
      </c>
      <c r="G43" s="20">
        <v>1.85</v>
      </c>
      <c r="H43" s="20"/>
      <c r="I43" s="20" t="s">
        <v>249</v>
      </c>
      <c r="J43" s="23"/>
      <c r="K43" s="20" t="s">
        <v>193</v>
      </c>
      <c r="L43" s="20">
        <v>550</v>
      </c>
      <c r="M43" s="20"/>
      <c r="N43" s="20"/>
      <c r="O43" s="20"/>
      <c r="P43" s="20"/>
      <c r="Q43" s="20">
        <v>1000</v>
      </c>
      <c r="R43" s="20"/>
      <c r="S43" s="20"/>
      <c r="T43" s="20"/>
      <c r="U43" s="24"/>
      <c r="V43" s="24">
        <f t="shared" si="0"/>
        <v>0.90909090909090906</v>
      </c>
      <c r="W43" s="22" t="s">
        <v>253</v>
      </c>
      <c r="X43" s="22" t="s">
        <v>253</v>
      </c>
    </row>
    <row r="44" spans="2:24" x14ac:dyDescent="0.25">
      <c r="B44" s="22" t="s">
        <v>243</v>
      </c>
      <c r="C44" s="22" t="s">
        <v>175</v>
      </c>
      <c r="D44" s="22" t="s">
        <v>264</v>
      </c>
      <c r="E44" s="20">
        <v>2</v>
      </c>
      <c r="F44" s="20">
        <v>2</v>
      </c>
      <c r="G44" s="20">
        <v>1.3</v>
      </c>
      <c r="H44" s="20"/>
      <c r="I44" s="20" t="s">
        <v>236</v>
      </c>
      <c r="J44" s="23"/>
      <c r="K44" s="20" t="s">
        <v>233</v>
      </c>
      <c r="L44" s="20">
        <v>270</v>
      </c>
      <c r="M44" s="20"/>
      <c r="N44" s="20"/>
      <c r="O44" s="20"/>
      <c r="P44" s="20"/>
      <c r="Q44" s="20">
        <v>510</v>
      </c>
      <c r="R44" s="20"/>
      <c r="S44" s="20"/>
      <c r="T44" s="20"/>
      <c r="U44" s="24"/>
      <c r="V44" s="24">
        <f t="shared" si="0"/>
        <v>0.94444444444444442</v>
      </c>
      <c r="W44" s="22" t="s">
        <v>276</v>
      </c>
      <c r="X44" s="22" t="s">
        <v>274</v>
      </c>
    </row>
    <row r="45" spans="2:24" x14ac:dyDescent="0.25">
      <c r="B45" s="22" t="s">
        <v>242</v>
      </c>
      <c r="C45" s="22" t="s">
        <v>175</v>
      </c>
      <c r="D45" s="22" t="s">
        <v>260</v>
      </c>
      <c r="E45" s="20">
        <v>2</v>
      </c>
      <c r="F45" s="20">
        <v>2</v>
      </c>
      <c r="G45" s="20">
        <v>1</v>
      </c>
      <c r="H45" s="20"/>
      <c r="I45" s="20" t="s">
        <v>238</v>
      </c>
      <c r="J45" s="23"/>
      <c r="K45" s="20" t="s">
        <v>240</v>
      </c>
      <c r="L45" s="20">
        <v>65</v>
      </c>
      <c r="M45" s="20"/>
      <c r="N45" s="20"/>
      <c r="O45" s="20"/>
      <c r="P45" s="20"/>
      <c r="Q45" s="20">
        <v>116</v>
      </c>
      <c r="R45" s="20"/>
      <c r="S45" s="20"/>
      <c r="T45" s="20"/>
      <c r="U45" s="24"/>
      <c r="V45" s="24">
        <f t="shared" si="0"/>
        <v>0.89230769230769236</v>
      </c>
      <c r="W45" s="22" t="s">
        <v>275</v>
      </c>
      <c r="X45" s="22" t="s">
        <v>278</v>
      </c>
    </row>
    <row r="46" spans="2:24" x14ac:dyDescent="0.25">
      <c r="B46" s="22" t="s">
        <v>241</v>
      </c>
      <c r="C46" s="22" t="s">
        <v>175</v>
      </c>
      <c r="D46" s="22" t="s">
        <v>259</v>
      </c>
      <c r="E46" s="20">
        <v>1</v>
      </c>
      <c r="F46" s="20">
        <v>1</v>
      </c>
      <c r="G46" s="20">
        <v>1</v>
      </c>
      <c r="H46" s="20"/>
      <c r="I46" s="20" t="s">
        <v>237</v>
      </c>
      <c r="J46" s="23"/>
      <c r="K46" s="20" t="s">
        <v>239</v>
      </c>
      <c r="L46" s="20">
        <v>25</v>
      </c>
      <c r="M46" s="20"/>
      <c r="N46" s="20"/>
      <c r="O46" s="20"/>
      <c r="P46" s="20"/>
      <c r="Q46" s="20">
        <v>25</v>
      </c>
      <c r="R46" s="20"/>
      <c r="S46" s="20"/>
      <c r="T46" s="20"/>
      <c r="U46" s="24"/>
      <c r="V46" s="24">
        <f t="shared" si="0"/>
        <v>1</v>
      </c>
      <c r="W46" s="22" t="s">
        <v>277</v>
      </c>
      <c r="X46" s="22" t="s">
        <v>279</v>
      </c>
    </row>
    <row r="47" spans="2:24" x14ac:dyDescent="0.25">
      <c r="B47" s="54" t="s">
        <v>336</v>
      </c>
    </row>
    <row r="48" spans="2:24" x14ac:dyDescent="0.25">
      <c r="B48" s="54" t="s">
        <v>338</v>
      </c>
    </row>
  </sheetData>
  <autoFilter ref="B2:X2" xr:uid="{94A0A103-DC4C-4B61-954E-C70EC6FD01B7}">
    <sortState xmlns:xlrd2="http://schemas.microsoft.com/office/spreadsheetml/2017/richdata2" ref="B3:X28">
      <sortCondition descending="1" ref="Q2"/>
    </sortState>
  </autoFilter>
  <mergeCells count="2">
    <mergeCell ref="L1:O1"/>
    <mergeCell ref="Q1:V1"/>
  </mergeCells>
  <pageMargins left="0.25" right="0.25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E6E5-AB1F-45F1-9C1F-70C6AD872358}">
  <dimension ref="B2:G48"/>
  <sheetViews>
    <sheetView workbookViewId="0">
      <selection activeCell="D40" sqref="D40"/>
    </sheetView>
  </sheetViews>
  <sheetFormatPr defaultRowHeight="15" x14ac:dyDescent="0.25"/>
  <cols>
    <col min="2" max="2" width="40.7109375" customWidth="1"/>
    <col min="3" max="3" width="14.42578125" style="10" customWidth="1"/>
    <col min="4" max="4" width="14.5703125" style="10" customWidth="1"/>
    <col min="5" max="6" width="15.5703125" customWidth="1"/>
    <col min="7" max="7" width="15.42578125" customWidth="1"/>
  </cols>
  <sheetData>
    <row r="2" spans="2:7" ht="30" x14ac:dyDescent="0.25">
      <c r="B2" s="1" t="s">
        <v>34</v>
      </c>
      <c r="C2" s="8" t="s">
        <v>16</v>
      </c>
      <c r="D2" s="2" t="s">
        <v>35</v>
      </c>
      <c r="E2" s="2" t="s">
        <v>36</v>
      </c>
      <c r="F2" s="2" t="s">
        <v>46</v>
      </c>
    </row>
    <row r="3" spans="2:7" x14ac:dyDescent="0.25">
      <c r="B3" s="3" t="s">
        <v>37</v>
      </c>
      <c r="C3" s="9">
        <v>43896</v>
      </c>
      <c r="D3" s="9" t="s">
        <v>38</v>
      </c>
      <c r="E3" s="4" t="s">
        <v>39</v>
      </c>
      <c r="F3" s="12">
        <f>42/22</f>
        <v>1.9090909090909092</v>
      </c>
    </row>
    <row r="4" spans="2:7" x14ac:dyDescent="0.25">
      <c r="B4" s="3" t="s">
        <v>40</v>
      </c>
      <c r="C4" s="9">
        <v>43896</v>
      </c>
      <c r="D4" s="9" t="s">
        <v>41</v>
      </c>
      <c r="E4" s="4" t="s">
        <v>42</v>
      </c>
      <c r="F4" s="12">
        <f>73/43</f>
        <v>1.6976744186046511</v>
      </c>
    </row>
    <row r="5" spans="2:7" x14ac:dyDescent="0.25">
      <c r="B5" s="3" t="s">
        <v>43</v>
      </c>
      <c r="C5" s="9">
        <v>43896</v>
      </c>
      <c r="D5" s="9" t="s">
        <v>44</v>
      </c>
      <c r="E5" s="4" t="s">
        <v>45</v>
      </c>
      <c r="F5" s="12">
        <f>0.5/0.4</f>
        <v>1.25</v>
      </c>
    </row>
    <row r="6" spans="2:7" x14ac:dyDescent="0.25">
      <c r="B6" s="3" t="s">
        <v>47</v>
      </c>
      <c r="C6" s="9">
        <v>43896</v>
      </c>
      <c r="D6" s="4" t="s">
        <v>48</v>
      </c>
      <c r="E6" s="4" t="s">
        <v>49</v>
      </c>
      <c r="F6" s="12">
        <f>26/23</f>
        <v>1.1304347826086956</v>
      </c>
    </row>
    <row r="7" spans="2:7" x14ac:dyDescent="0.25">
      <c r="B7" s="3" t="s">
        <v>50</v>
      </c>
      <c r="C7" s="9">
        <v>43896</v>
      </c>
      <c r="D7" s="4" t="s">
        <v>51</v>
      </c>
      <c r="E7" s="4" t="s">
        <v>52</v>
      </c>
      <c r="F7" s="12">
        <f>10/8.4</f>
        <v>1.1904761904761905</v>
      </c>
    </row>
    <row r="8" spans="2:7" x14ac:dyDescent="0.25">
      <c r="B8" s="3" t="s">
        <v>53</v>
      </c>
      <c r="C8" s="9">
        <v>43896</v>
      </c>
      <c r="D8" s="4" t="s">
        <v>42</v>
      </c>
      <c r="E8" s="4" t="s">
        <v>54</v>
      </c>
      <c r="F8" s="12">
        <f>43/25</f>
        <v>1.72</v>
      </c>
    </row>
    <row r="9" spans="2:7" x14ac:dyDescent="0.25">
      <c r="B9" s="3" t="s">
        <v>55</v>
      </c>
      <c r="C9" s="9">
        <v>43896</v>
      </c>
      <c r="D9" s="4" t="s">
        <v>56</v>
      </c>
      <c r="E9" s="4" t="s">
        <v>62</v>
      </c>
      <c r="F9" s="12">
        <f>19.5/12.4</f>
        <v>1.5725806451612903</v>
      </c>
      <c r="G9" t="s">
        <v>136</v>
      </c>
    </row>
    <row r="10" spans="2:7" x14ac:dyDescent="0.25">
      <c r="B10" s="3" t="s">
        <v>59</v>
      </c>
      <c r="C10" s="9">
        <v>43896</v>
      </c>
      <c r="D10" s="4" t="s">
        <v>57</v>
      </c>
      <c r="E10" s="4" t="s">
        <v>64</v>
      </c>
      <c r="F10" s="12">
        <f>39.9/25.9</f>
        <v>1.5405405405405406</v>
      </c>
      <c r="G10" t="s">
        <v>137</v>
      </c>
    </row>
    <row r="11" spans="2:7" x14ac:dyDescent="0.25">
      <c r="B11" s="3" t="s">
        <v>58</v>
      </c>
      <c r="C11" s="9">
        <v>43896</v>
      </c>
      <c r="D11" s="4" t="s">
        <v>61</v>
      </c>
      <c r="E11" s="4" t="s">
        <v>65</v>
      </c>
      <c r="F11" s="12">
        <f>39.8/26</f>
        <v>1.5307692307692307</v>
      </c>
    </row>
    <row r="12" spans="2:7" x14ac:dyDescent="0.25">
      <c r="B12" s="3" t="s">
        <v>60</v>
      </c>
      <c r="C12" s="9">
        <v>43896</v>
      </c>
      <c r="D12" s="4"/>
      <c r="E12" s="4" t="s">
        <v>63</v>
      </c>
      <c r="F12" s="12"/>
    </row>
    <row r="13" spans="2:7" x14ac:dyDescent="0.25">
      <c r="B13" s="3" t="s">
        <v>66</v>
      </c>
      <c r="C13" s="9">
        <v>43896</v>
      </c>
      <c r="D13" s="4" t="s">
        <v>91</v>
      </c>
      <c r="E13" s="4" t="s">
        <v>67</v>
      </c>
      <c r="F13" s="12">
        <f>11.9/17.2</f>
        <v>0.69186046511627908</v>
      </c>
    </row>
    <row r="14" spans="2:7" x14ac:dyDescent="0.25">
      <c r="B14" s="3" t="s">
        <v>68</v>
      </c>
      <c r="C14" s="9">
        <v>43896</v>
      </c>
      <c r="D14" s="4" t="s">
        <v>92</v>
      </c>
      <c r="E14" s="4" t="s">
        <v>69</v>
      </c>
      <c r="F14" s="12">
        <f>56.1/31.7</f>
        <v>1.7697160883280758</v>
      </c>
    </row>
    <row r="15" spans="2:7" x14ac:dyDescent="0.25">
      <c r="B15" s="3" t="s">
        <v>70</v>
      </c>
      <c r="C15" s="9">
        <v>43896</v>
      </c>
      <c r="D15" s="4" t="s">
        <v>93</v>
      </c>
      <c r="E15" s="4" t="s">
        <v>71</v>
      </c>
      <c r="F15" s="12">
        <f>23.5/15.6</f>
        <v>1.5064102564102564</v>
      </c>
    </row>
    <row r="16" spans="2:7" x14ac:dyDescent="0.25">
      <c r="B16" s="3" t="s">
        <v>72</v>
      </c>
      <c r="C16" s="9">
        <v>43896</v>
      </c>
      <c r="D16" s="4" t="s">
        <v>94</v>
      </c>
      <c r="E16" s="4" t="s">
        <v>73</v>
      </c>
      <c r="F16" s="12">
        <f>27.8/27.7</f>
        <v>1.0036101083032491</v>
      </c>
    </row>
    <row r="17" spans="2:7" x14ac:dyDescent="0.25">
      <c r="B17" s="3" t="s">
        <v>74</v>
      </c>
      <c r="C17" s="9">
        <v>43896</v>
      </c>
      <c r="D17" s="4" t="s">
        <v>102</v>
      </c>
      <c r="E17" s="4" t="s">
        <v>75</v>
      </c>
      <c r="F17" s="12">
        <f>31.3/17</f>
        <v>1.8411764705882354</v>
      </c>
    </row>
    <row r="18" spans="2:7" x14ac:dyDescent="0.25">
      <c r="B18" s="3" t="s">
        <v>76</v>
      </c>
      <c r="C18" s="9">
        <v>43896</v>
      </c>
      <c r="D18" s="4" t="s">
        <v>95</v>
      </c>
      <c r="E18" s="4" t="s">
        <v>77</v>
      </c>
      <c r="F18" s="12">
        <f>41.8/25.8</f>
        <v>1.6201550387596897</v>
      </c>
    </row>
    <row r="19" spans="2:7" x14ac:dyDescent="0.25">
      <c r="B19" s="3" t="s">
        <v>78</v>
      </c>
      <c r="C19" s="9">
        <v>43896</v>
      </c>
      <c r="D19" s="4" t="s">
        <v>101</v>
      </c>
      <c r="E19" s="4" t="s">
        <v>63</v>
      </c>
      <c r="F19" s="12">
        <f>44.2/26.6</f>
        <v>1.6616541353383458</v>
      </c>
    </row>
    <row r="20" spans="2:7" x14ac:dyDescent="0.25">
      <c r="B20" s="3" t="s">
        <v>79</v>
      </c>
      <c r="C20" s="9">
        <v>43896</v>
      </c>
      <c r="D20" s="4" t="s">
        <v>96</v>
      </c>
      <c r="E20" s="4" t="s">
        <v>80</v>
      </c>
      <c r="F20" s="12">
        <f>33.2/28.6</f>
        <v>1.1608391608391608</v>
      </c>
    </row>
    <row r="21" spans="2:7" x14ac:dyDescent="0.25">
      <c r="B21" s="3" t="s">
        <v>81</v>
      </c>
      <c r="C21" s="9">
        <v>43896</v>
      </c>
      <c r="D21" s="4" t="s">
        <v>103</v>
      </c>
      <c r="E21" s="4" t="s">
        <v>82</v>
      </c>
      <c r="F21" s="12">
        <f>25.6/23.1</f>
        <v>1.1082251082251082</v>
      </c>
    </row>
    <row r="22" spans="2:7" x14ac:dyDescent="0.25">
      <c r="B22" s="3" t="s">
        <v>83</v>
      </c>
      <c r="C22" s="9">
        <v>43896</v>
      </c>
      <c r="D22" s="4" t="s">
        <v>97</v>
      </c>
      <c r="E22" s="4" t="s">
        <v>84</v>
      </c>
      <c r="F22" s="12">
        <f>8.9/9.1</f>
        <v>0.9780219780219781</v>
      </c>
    </row>
    <row r="23" spans="2:7" x14ac:dyDescent="0.25">
      <c r="B23" s="3" t="s">
        <v>85</v>
      </c>
      <c r="C23" s="9">
        <v>43896</v>
      </c>
      <c r="D23" s="4" t="s">
        <v>100</v>
      </c>
      <c r="E23" s="4" t="s">
        <v>86</v>
      </c>
      <c r="F23" s="12">
        <f>81.3/36.7</f>
        <v>2.215258855585831</v>
      </c>
    </row>
    <row r="24" spans="2:7" x14ac:dyDescent="0.25">
      <c r="B24" s="3" t="s">
        <v>90</v>
      </c>
      <c r="C24" s="9">
        <v>43896</v>
      </c>
      <c r="D24" s="4" t="s">
        <v>98</v>
      </c>
      <c r="E24" s="4" t="s">
        <v>87</v>
      </c>
      <c r="F24" s="12">
        <f>72.4/48.7</f>
        <v>1.4866529774127311</v>
      </c>
    </row>
    <row r="25" spans="2:7" x14ac:dyDescent="0.25">
      <c r="B25" s="3" t="s">
        <v>88</v>
      </c>
      <c r="C25" s="9">
        <v>43896</v>
      </c>
      <c r="D25" s="4" t="s">
        <v>99</v>
      </c>
      <c r="E25" s="4" t="s">
        <v>89</v>
      </c>
      <c r="F25" s="12">
        <f>27.5/21.1</f>
        <v>1.3033175355450237</v>
      </c>
    </row>
    <row r="26" spans="2:7" x14ac:dyDescent="0.25">
      <c r="B26" s="3" t="s">
        <v>142</v>
      </c>
      <c r="C26" s="9">
        <v>43896</v>
      </c>
      <c r="D26" s="4" t="s">
        <v>135</v>
      </c>
      <c r="E26" s="4" t="s">
        <v>134</v>
      </c>
      <c r="F26" s="12">
        <f>5095/668</f>
        <v>7.6272455089820363</v>
      </c>
      <c r="G26" t="s">
        <v>143</v>
      </c>
    </row>
    <row r="27" spans="2:7" x14ac:dyDescent="0.25">
      <c r="B27" s="3" t="s">
        <v>104</v>
      </c>
      <c r="C27" s="9">
        <v>43896</v>
      </c>
      <c r="D27" s="4" t="s">
        <v>112</v>
      </c>
      <c r="E27" s="4" t="s">
        <v>108</v>
      </c>
      <c r="F27" s="12">
        <f>28/11.4</f>
        <v>2.4561403508771931</v>
      </c>
    </row>
    <row r="28" spans="2:7" x14ac:dyDescent="0.25">
      <c r="B28" s="3" t="s">
        <v>105</v>
      </c>
      <c r="C28" s="9">
        <v>43896</v>
      </c>
      <c r="D28" s="4" t="s">
        <v>113</v>
      </c>
      <c r="E28" s="4" t="s">
        <v>109</v>
      </c>
      <c r="F28" s="12">
        <f>20.1/6.4</f>
        <v>3.140625</v>
      </c>
    </row>
    <row r="29" spans="2:7" x14ac:dyDescent="0.25">
      <c r="B29" s="3" t="s">
        <v>106</v>
      </c>
      <c r="C29" s="9">
        <v>43896</v>
      </c>
      <c r="D29" s="4" t="s">
        <v>114</v>
      </c>
      <c r="E29" s="4" t="s">
        <v>110</v>
      </c>
      <c r="F29" s="12">
        <f>22.4/4.4</f>
        <v>5.0909090909090899</v>
      </c>
    </row>
    <row r="30" spans="2:7" x14ac:dyDescent="0.25">
      <c r="B30" s="3" t="s">
        <v>107</v>
      </c>
      <c r="C30" s="9">
        <v>43896</v>
      </c>
      <c r="D30" s="4" t="s">
        <v>115</v>
      </c>
      <c r="E30" s="4" t="s">
        <v>111</v>
      </c>
      <c r="F30" s="12">
        <f>19/2.8</f>
        <v>6.7857142857142865</v>
      </c>
    </row>
    <row r="31" spans="2:7" x14ac:dyDescent="0.25">
      <c r="B31" s="3" t="s">
        <v>116</v>
      </c>
      <c r="C31" s="9">
        <v>43896</v>
      </c>
      <c r="D31" s="4" t="s">
        <v>120</v>
      </c>
      <c r="E31" s="4" t="s">
        <v>124</v>
      </c>
      <c r="F31" s="12">
        <f>50/28.4</f>
        <v>1.7605633802816902</v>
      </c>
    </row>
    <row r="32" spans="2:7" x14ac:dyDescent="0.25">
      <c r="B32" s="3" t="s">
        <v>117</v>
      </c>
      <c r="C32" s="9">
        <v>43896</v>
      </c>
      <c r="D32" s="4" t="s">
        <v>121</v>
      </c>
      <c r="E32" s="4" t="s">
        <v>125</v>
      </c>
      <c r="F32" s="12">
        <f>33.8/15.9</f>
        <v>2.1257861635220126</v>
      </c>
    </row>
    <row r="33" spans="2:6" x14ac:dyDescent="0.25">
      <c r="B33" s="3" t="s">
        <v>118</v>
      </c>
      <c r="C33" s="9">
        <v>43896</v>
      </c>
      <c r="D33" s="4" t="s">
        <v>122</v>
      </c>
      <c r="E33" s="4" t="s">
        <v>126</v>
      </c>
      <c r="F33" s="12">
        <f>28.5/9.8</f>
        <v>2.9081632653061225</v>
      </c>
    </row>
    <row r="34" spans="2:6" x14ac:dyDescent="0.25">
      <c r="B34" s="3" t="s">
        <v>119</v>
      </c>
      <c r="C34" s="9">
        <v>43896</v>
      </c>
      <c r="D34" s="4" t="s">
        <v>123</v>
      </c>
      <c r="E34" s="4" t="s">
        <v>127</v>
      </c>
      <c r="F34" s="12">
        <f>29.8/8.8</f>
        <v>3.3863636363636362</v>
      </c>
    </row>
    <row r="35" spans="2:6" x14ac:dyDescent="0.25">
      <c r="B35" s="3" t="s">
        <v>128</v>
      </c>
      <c r="C35" s="9">
        <v>43896</v>
      </c>
      <c r="D35" s="4" t="s">
        <v>132</v>
      </c>
      <c r="E35" s="4" t="s">
        <v>130</v>
      </c>
      <c r="F35" s="12">
        <f>147.3/84.2</f>
        <v>1.7494061757719717</v>
      </c>
    </row>
    <row r="36" spans="2:6" x14ac:dyDescent="0.25">
      <c r="B36" s="3" t="s">
        <v>129</v>
      </c>
      <c r="C36" s="9">
        <v>43896</v>
      </c>
      <c r="D36" s="4" t="s">
        <v>133</v>
      </c>
      <c r="E36" s="4" t="s">
        <v>131</v>
      </c>
      <c r="F36" s="12">
        <f>104.7/47.3</f>
        <v>2.2135306553911205</v>
      </c>
    </row>
    <row r="37" spans="2:6" x14ac:dyDescent="0.25">
      <c r="F37" s="13">
        <f>GEOMEAN(F3:F11,F14,F15,F17,F18,F19,F21,F23,F24,F25,F27,F31,F35)</f>
        <v>1.5880989584699516</v>
      </c>
    </row>
    <row r="39" spans="2:6" ht="90" x14ac:dyDescent="0.25">
      <c r="B39" s="1" t="s">
        <v>34</v>
      </c>
      <c r="C39" s="8" t="s">
        <v>16</v>
      </c>
      <c r="D39" s="2" t="s">
        <v>164</v>
      </c>
      <c r="E39" s="14" t="s">
        <v>163</v>
      </c>
    </row>
    <row r="40" spans="2:6" x14ac:dyDescent="0.25">
      <c r="B40" s="3" t="s">
        <v>144</v>
      </c>
      <c r="C40" s="9">
        <v>43932</v>
      </c>
      <c r="D40" s="9" t="s">
        <v>153</v>
      </c>
    </row>
    <row r="41" spans="2:6" x14ac:dyDescent="0.25">
      <c r="B41" s="3" t="s">
        <v>145</v>
      </c>
      <c r="C41" s="9">
        <v>43932</v>
      </c>
      <c r="D41" s="9" t="s">
        <v>146</v>
      </c>
    </row>
    <row r="42" spans="2:6" x14ac:dyDescent="0.25">
      <c r="B42" s="3" t="s">
        <v>147</v>
      </c>
      <c r="C42" s="9">
        <v>43932</v>
      </c>
      <c r="D42" s="9" t="s">
        <v>148</v>
      </c>
    </row>
    <row r="43" spans="2:6" x14ac:dyDescent="0.25">
      <c r="B43" s="3" t="s">
        <v>149</v>
      </c>
      <c r="C43" s="9">
        <v>43932</v>
      </c>
      <c r="D43" s="4" t="s">
        <v>150</v>
      </c>
    </row>
    <row r="44" spans="2:6" x14ac:dyDescent="0.25">
      <c r="B44" s="3" t="s">
        <v>151</v>
      </c>
      <c r="C44" s="9">
        <v>43932</v>
      </c>
      <c r="D44" s="4" t="s">
        <v>152</v>
      </c>
      <c r="E44" t="s">
        <v>162</v>
      </c>
    </row>
    <row r="45" spans="2:6" x14ac:dyDescent="0.25">
      <c r="B45" s="3" t="s">
        <v>154</v>
      </c>
      <c r="C45" s="9">
        <v>43932</v>
      </c>
      <c r="D45" s="4" t="s">
        <v>155</v>
      </c>
    </row>
    <row r="46" spans="2:6" x14ac:dyDescent="0.25">
      <c r="B46" s="3" t="s">
        <v>156</v>
      </c>
      <c r="C46" s="9">
        <v>43932</v>
      </c>
      <c r="D46" s="4" t="s">
        <v>157</v>
      </c>
    </row>
    <row r="47" spans="2:6" x14ac:dyDescent="0.25">
      <c r="B47" s="3" t="s">
        <v>158</v>
      </c>
      <c r="C47" s="9">
        <v>43932</v>
      </c>
      <c r="D47" s="4" t="s">
        <v>159</v>
      </c>
    </row>
    <row r="48" spans="2:6" x14ac:dyDescent="0.25">
      <c r="B48" s="3" t="s">
        <v>160</v>
      </c>
      <c r="C48" s="9">
        <v>43932</v>
      </c>
      <c r="D48" s="4" t="s">
        <v>161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0C4B-50B0-44B3-99CB-B1BA736ED3DD}">
  <dimension ref="A1:C10"/>
  <sheetViews>
    <sheetView workbookViewId="0">
      <selection activeCell="C1" sqref="C1:C10"/>
    </sheetView>
  </sheetViews>
  <sheetFormatPr defaultRowHeight="15" x14ac:dyDescent="0.25"/>
  <sheetData>
    <row r="1" spans="1:3" x14ac:dyDescent="0.25">
      <c r="A1" t="s">
        <v>68</v>
      </c>
      <c r="C1">
        <v>6.5</v>
      </c>
    </row>
    <row r="2" spans="1:3" x14ac:dyDescent="0.25">
      <c r="A2" t="s">
        <v>70</v>
      </c>
      <c r="C2">
        <v>8</v>
      </c>
    </row>
    <row r="3" spans="1:3" x14ac:dyDescent="0.25">
      <c r="A3" t="s">
        <v>138</v>
      </c>
      <c r="C3">
        <v>131</v>
      </c>
    </row>
    <row r="4" spans="1:3" x14ac:dyDescent="0.25">
      <c r="A4" t="s">
        <v>76</v>
      </c>
      <c r="C4">
        <v>14</v>
      </c>
    </row>
    <row r="5" spans="1:3" x14ac:dyDescent="0.25">
      <c r="A5" t="s">
        <v>78</v>
      </c>
      <c r="C5">
        <v>106</v>
      </c>
    </row>
    <row r="6" spans="1:3" x14ac:dyDescent="0.25">
      <c r="A6" t="s">
        <v>139</v>
      </c>
      <c r="C6">
        <v>120</v>
      </c>
    </row>
    <row r="7" spans="1:3" x14ac:dyDescent="0.25">
      <c r="A7" t="s">
        <v>85</v>
      </c>
      <c r="C7">
        <v>115</v>
      </c>
    </row>
    <row r="8" spans="1:3" x14ac:dyDescent="0.25">
      <c r="A8" t="s">
        <v>140</v>
      </c>
      <c r="C8">
        <v>92.6</v>
      </c>
    </row>
    <row r="9" spans="1:3" x14ac:dyDescent="0.25">
      <c r="A9" t="s">
        <v>141</v>
      </c>
      <c r="C9">
        <v>34.4</v>
      </c>
    </row>
    <row r="10" spans="1:3" x14ac:dyDescent="0.25">
      <c r="A10" t="s">
        <v>88</v>
      </c>
      <c r="C10">
        <v>38.9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Javascript</vt:lpstr>
      <vt:lpstr>Geekbench and Spec</vt:lpstr>
      <vt:lpstr>New PC 2020</vt:lpstr>
      <vt:lpstr>Build Times</vt:lpstr>
      <vt:lpstr>'Geekbench and Spec'!Print_Area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William Menninger</cp:lastModifiedBy>
  <cp:lastPrinted>2023-01-14T14:49:13Z</cp:lastPrinted>
  <dcterms:created xsi:type="dcterms:W3CDTF">2016-07-10T01:26:33Z</dcterms:created>
  <dcterms:modified xsi:type="dcterms:W3CDTF">2023-01-14T14:49:16Z</dcterms:modified>
</cp:coreProperties>
</file>